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3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4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5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7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DEOR\Google Drive\"/>
    </mc:Choice>
  </mc:AlternateContent>
  <bookViews>
    <workbookView xWindow="0" yWindow="0" windowWidth="13455" windowHeight="7500"/>
  </bookViews>
  <sheets>
    <sheet name="Distribuição Orçamentária" sheetId="3" r:id="rId1"/>
    <sheet name="Planejamento" sheetId="2" r:id="rId2"/>
    <sheet name="Quadro Mensal" sheetId="8" r:id="rId3"/>
    <sheet name="Sumário" sheetId="9" r:id="rId4"/>
    <sheet name="Lista de Corpatilhamento" sheetId="7" state="hidden" r:id="rId5"/>
    <sheet name="help" sheetId="5" state="hidden" r:id="rId6"/>
  </sheets>
  <externalReferences>
    <externalReference r:id="rId7"/>
  </externalReferences>
  <definedNames>
    <definedName name="_xlcn.WorksheetConnection_planejamento.xlsxCategoria1" hidden="1">Distribuição[]</definedName>
    <definedName name="_xlcn.WorksheetConnection_planejamento.xlsxcontrole1" hidden="1">controle[]</definedName>
    <definedName name="SumItemsToBuy">COUNTIF([1]!Checklist[To Buy],"&gt;0")</definedName>
    <definedName name="teste">#REF!</definedName>
  </definedNames>
  <calcPr calcId="162913"/>
  <pivotCaches>
    <pivotCache cacheId="0" r:id="rId8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controle1_26015270-3ca5-4b6a-b54f-fd14c13a54b0" name="controle1" connection="Query - controle"/>
          <x15:modelTable id="Categoria1_e44a9442-d9cd-4ce6-9b1a-dfdada51ed6c" name="Categoria1" connection="Query - Categoria"/>
          <x15:modelTable id="controle" name="controle" connection="WorksheetConnection_planejamento.xlsx!controle"/>
          <x15:modelTable id="Categoria" name="Categoria" connection="WorksheetConnection_planejamento.xlsx!Categoria"/>
        </x15:modelTables>
        <x15:modelRelationships>
          <x15:modelRelationship fromTable="controle" fromColumn="Categoria" toTable="Categoria" toColumn="Categoria"/>
        </x15:modelRelationships>
      </x15:dataModel>
    </ext>
  </extLst>
</workbook>
</file>

<file path=xl/calcChain.xml><?xml version="1.0" encoding="utf-8"?>
<calcChain xmlns="http://schemas.openxmlformats.org/spreadsheetml/2006/main">
  <c r="K7" i="2" l="1"/>
  <c r="K8" i="2" l="1"/>
  <c r="G8" i="2" l="1"/>
  <c r="M8" i="2"/>
  <c r="C54" i="9" l="1"/>
  <c r="C55" i="9"/>
  <c r="C56" i="9"/>
  <c r="C57" i="9"/>
  <c r="F54" i="9" s="1"/>
  <c r="C58" i="9"/>
  <c r="C59" i="9"/>
  <c r="C60" i="9"/>
  <c r="F59" i="9" s="1"/>
  <c r="B55" i="9"/>
  <c r="B56" i="9"/>
  <c r="B57" i="9"/>
  <c r="B58" i="9"/>
  <c r="B59" i="9"/>
  <c r="C46" i="9"/>
  <c r="C47" i="9"/>
  <c r="C48" i="9"/>
  <c r="C49" i="9"/>
  <c r="F46" i="9" s="1"/>
  <c r="C50" i="9"/>
  <c r="C51" i="9"/>
  <c r="C52" i="9"/>
  <c r="F51" i="9" s="1"/>
  <c r="B47" i="9"/>
  <c r="B48" i="9"/>
  <c r="B49" i="9"/>
  <c r="B50" i="9"/>
  <c r="B51" i="9"/>
  <c r="C38" i="9"/>
  <c r="C39" i="9"/>
  <c r="C40" i="9"/>
  <c r="C41" i="9"/>
  <c r="F38" i="9" s="1"/>
  <c r="C42" i="9"/>
  <c r="C43" i="9"/>
  <c r="C44" i="9"/>
  <c r="F43" i="9" s="1"/>
  <c r="B39" i="9"/>
  <c r="B40" i="9"/>
  <c r="B41" i="9"/>
  <c r="B42" i="9"/>
  <c r="B43" i="9"/>
  <c r="C30" i="9"/>
  <c r="C31" i="9"/>
  <c r="C32" i="9"/>
  <c r="C33" i="9"/>
  <c r="F30" i="9" s="1"/>
  <c r="C34" i="9"/>
  <c r="C35" i="9"/>
  <c r="C36" i="9"/>
  <c r="F35" i="9" s="1"/>
  <c r="B31" i="9"/>
  <c r="B32" i="9"/>
  <c r="B33" i="9"/>
  <c r="B34" i="9"/>
  <c r="B35" i="9"/>
  <c r="M14" i="9"/>
  <c r="M16" i="9"/>
  <c r="M18" i="9"/>
  <c r="M19" i="9"/>
  <c r="M20" i="9"/>
  <c r="M27" i="9" s="1"/>
  <c r="L15" i="9"/>
  <c r="L16" i="9"/>
  <c r="L17" i="9"/>
  <c r="L18" i="9"/>
  <c r="L19" i="9"/>
  <c r="C22" i="9"/>
  <c r="C24" i="9"/>
  <c r="C26" i="9"/>
  <c r="B23" i="9"/>
  <c r="B24" i="9"/>
  <c r="B25" i="9"/>
  <c r="B26" i="9"/>
  <c r="B27" i="9"/>
  <c r="B19" i="9"/>
  <c r="C18" i="9"/>
  <c r="B18" i="9"/>
  <c r="C17" i="9"/>
  <c r="F14" i="9" s="1"/>
  <c r="B17" i="9"/>
  <c r="C16" i="9"/>
  <c r="B16" i="9"/>
  <c r="B15" i="9"/>
  <c r="C14" i="9"/>
  <c r="M6" i="9"/>
  <c r="M15" i="9" l="1"/>
  <c r="M17" i="9"/>
  <c r="M23" i="9" s="1"/>
  <c r="B7" i="8"/>
  <c r="C7" i="8" s="1"/>
  <c r="M7" i="2"/>
  <c r="M17" i="3"/>
  <c r="M19" i="3"/>
  <c r="C27" i="9" l="1"/>
  <c r="M9" i="9"/>
  <c r="M7" i="9"/>
  <c r="G7" i="2"/>
  <c r="O3" i="8"/>
  <c r="N3" i="3"/>
  <c r="M1" i="9"/>
  <c r="C20" i="9" l="1"/>
  <c r="F18" i="9" s="1"/>
  <c r="C15" i="9"/>
  <c r="C19" i="9"/>
  <c r="M8" i="9"/>
  <c r="M10" i="9" s="1"/>
  <c r="L5" i="9"/>
  <c r="C23" i="9"/>
  <c r="C25" i="9"/>
  <c r="F22" i="9" s="1"/>
  <c r="C28" i="9"/>
  <c r="F27" i="9" s="1"/>
  <c r="C6" i="9" l="1"/>
  <c r="B8" i="8"/>
  <c r="C8" i="8" s="1"/>
  <c r="N7" i="8"/>
  <c r="B9" i="8"/>
  <c r="C9" i="8" s="1"/>
  <c r="B10" i="8"/>
  <c r="C10" i="8" s="1"/>
  <c r="B11" i="8"/>
  <c r="C11" i="8" s="1"/>
  <c r="B12" i="8"/>
  <c r="C12" i="8" s="1"/>
  <c r="B13" i="8"/>
  <c r="C13" i="8" s="1"/>
  <c r="B6" i="8"/>
  <c r="C6" i="8" s="1"/>
  <c r="I7" i="8" l="1"/>
  <c r="D8" i="8"/>
  <c r="H8" i="8"/>
  <c r="M8" i="8"/>
  <c r="L8" i="8"/>
  <c r="D9" i="8"/>
  <c r="H9" i="8"/>
  <c r="L9" i="8"/>
  <c r="M12" i="8"/>
  <c r="M13" i="8"/>
  <c r="D11" i="8"/>
  <c r="F11" i="8"/>
  <c r="H11" i="8"/>
  <c r="J11" i="8"/>
  <c r="L11" i="8"/>
  <c r="N11" i="8"/>
  <c r="D12" i="8"/>
  <c r="H12" i="8"/>
  <c r="L12" i="8"/>
  <c r="H13" i="8"/>
  <c r="L13" i="8"/>
  <c r="D13" i="8"/>
  <c r="D7" i="8"/>
  <c r="F7" i="8"/>
  <c r="H7" i="8"/>
  <c r="J7" i="8"/>
  <c r="L7" i="8"/>
  <c r="M7" i="8"/>
  <c r="E11" i="8"/>
  <c r="I11" i="8"/>
  <c r="M11" i="8"/>
  <c r="E12" i="8"/>
  <c r="I12" i="8"/>
  <c r="N12" i="8"/>
  <c r="L10" i="8"/>
  <c r="O7" i="8"/>
  <c r="O11" i="8"/>
  <c r="I8" i="8"/>
  <c r="E8" i="8"/>
  <c r="O6" i="8"/>
  <c r="N8" i="8"/>
  <c r="M9" i="8"/>
  <c r="L6" i="8"/>
  <c r="G10" i="8"/>
  <c r="K10" i="8"/>
  <c r="O10" i="8"/>
  <c r="M6" i="8"/>
  <c r="F10" i="8"/>
  <c r="G13" i="8"/>
  <c r="G9" i="8"/>
  <c r="J10" i="8"/>
  <c r="K13" i="8"/>
  <c r="K9" i="8"/>
  <c r="N10" i="8"/>
  <c r="O13" i="8"/>
  <c r="O9" i="8"/>
  <c r="N6" i="8"/>
  <c r="E10" i="8"/>
  <c r="F13" i="8"/>
  <c r="F9" i="8"/>
  <c r="G12" i="8"/>
  <c r="G8" i="8"/>
  <c r="I10" i="8"/>
  <c r="J13" i="8"/>
  <c r="J9" i="8"/>
  <c r="K12" i="8"/>
  <c r="K8" i="8"/>
  <c r="M10" i="8"/>
  <c r="N13" i="8"/>
  <c r="N9" i="8"/>
  <c r="O12" i="8"/>
  <c r="O8" i="8"/>
  <c r="D10" i="8"/>
  <c r="E13" i="8"/>
  <c r="E9" i="8"/>
  <c r="F12" i="8"/>
  <c r="F8" i="8"/>
  <c r="G11" i="8"/>
  <c r="G7" i="8"/>
  <c r="H10" i="8"/>
  <c r="I13" i="8"/>
  <c r="I9" i="8"/>
  <c r="J12" i="8"/>
  <c r="J8" i="8"/>
  <c r="K11" i="8"/>
  <c r="K7" i="8"/>
  <c r="L17" i="8" l="1"/>
  <c r="O20" i="8"/>
  <c r="L20" i="8"/>
  <c r="N20" i="8"/>
  <c r="M20" i="8"/>
  <c r="N17" i="8"/>
  <c r="O17" i="8"/>
  <c r="M17" i="8"/>
  <c r="F6" i="8" l="1"/>
  <c r="H6" i="8"/>
  <c r="G6" i="8"/>
  <c r="E6" i="8"/>
  <c r="I6" i="8"/>
  <c r="J6" i="8"/>
  <c r="E7" i="8"/>
  <c r="E20" i="8" s="1"/>
  <c r="K6" i="8"/>
  <c r="F17" i="8" l="1"/>
  <c r="F20" i="8"/>
  <c r="K17" i="8"/>
  <c r="K20" i="8"/>
  <c r="G17" i="8"/>
  <c r="G20" i="8"/>
  <c r="I17" i="8"/>
  <c r="I20" i="8"/>
  <c r="J17" i="8"/>
  <c r="J20" i="8"/>
  <c r="H17" i="8"/>
  <c r="H20" i="8"/>
  <c r="E17" i="8"/>
  <c r="C9" i="9"/>
  <c r="D6" i="8" l="1"/>
  <c r="C7" i="9"/>
  <c r="B5" i="9" s="1"/>
  <c r="D17" i="8" l="1"/>
  <c r="D20" i="8"/>
  <c r="C8" i="9"/>
  <c r="C10" i="9" s="1"/>
</calcChain>
</file>

<file path=xl/connections.xml><?xml version="1.0" encoding="utf-8"?>
<connections xmlns="http://schemas.openxmlformats.org/spreadsheetml/2006/main">
  <connection id="1" name="Query - Categoria" description="Connection to the 'Categoria' query in the workbook." type="100" refreshedVersion="6" minRefreshableVersion="5">
    <extLst>
      <ext xmlns:x15="http://schemas.microsoft.com/office/spreadsheetml/2010/11/main" uri="{DE250136-89BD-433C-8126-D09CA5730AF9}">
        <x15:connection id="57c3711a-9c3d-49bf-9879-87fd1eee73c7">
          <x15:oledbPr connection="Provider=Microsoft.Mashup.OleDb.1;Data Source=$Workbook$;Location=Categoria">
            <x15:dbTables>
              <x15:dbTable name="Categoria"/>
            </x15:dbTables>
          </x15:oledbPr>
        </x15:connection>
      </ext>
    </extLst>
  </connection>
  <connection id="2" name="Query - controle" description="Connection to the 'controle' query in the workbook." type="100" refreshedVersion="6" minRefreshableVersion="5">
    <extLst>
      <ext xmlns:x15="http://schemas.microsoft.com/office/spreadsheetml/2010/11/main" uri="{DE250136-89BD-433C-8126-D09CA5730AF9}">
        <x15:connection id="cceb7290-fc1b-4603-bbc0-80e192685de8"/>
      </ext>
    </extLst>
  </connection>
  <connection id="3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4" name="WorksheetConnection_planejamento.xlsx!Categoria" type="102" refreshedVersion="6" minRefreshableVersion="5">
    <extLst>
      <ext xmlns:x15="http://schemas.microsoft.com/office/spreadsheetml/2010/11/main" uri="{DE250136-89BD-433C-8126-D09CA5730AF9}">
        <x15:connection id="Categoria">
          <x15:rangePr sourceName="_xlcn.WorksheetConnection_planejamento.xlsxCategoria1"/>
        </x15:connection>
      </ext>
    </extLst>
  </connection>
  <connection id="5" name="WorksheetConnection_planejamento.xlsx!controle" type="102" refreshedVersion="6" minRefreshableVersion="5">
    <extLst>
      <ext xmlns:x15="http://schemas.microsoft.com/office/spreadsheetml/2010/11/main" uri="{DE250136-89BD-433C-8126-D09CA5730AF9}">
        <x15:connection id="controle">
          <x15:rangePr sourceName="_xlcn.WorksheetConnection_planejamento.xlsxcontrole1"/>
        </x15:connection>
      </ext>
    </extLst>
  </connection>
</connections>
</file>

<file path=xl/sharedStrings.xml><?xml version="1.0" encoding="utf-8"?>
<sst xmlns="http://schemas.openxmlformats.org/spreadsheetml/2006/main" count="278" uniqueCount="169">
  <si>
    <t>Item</t>
  </si>
  <si>
    <t>Diárias 
(339014)</t>
  </si>
  <si>
    <t>Material de Consumo 
(339030)</t>
  </si>
  <si>
    <t>Material Permanente 
(449052)</t>
  </si>
  <si>
    <t>Passagens 
(339033)</t>
  </si>
  <si>
    <t>Qde.</t>
  </si>
  <si>
    <t>Custo Unitário</t>
  </si>
  <si>
    <t>Quando</t>
  </si>
  <si>
    <t>Custo Total</t>
  </si>
  <si>
    <t>Empenhado</t>
  </si>
  <si>
    <t>Observações</t>
  </si>
  <si>
    <t>saldo</t>
  </si>
  <si>
    <t>custeio</t>
  </si>
  <si>
    <t>crédito</t>
  </si>
  <si>
    <t>capital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</si>
  <si>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</si>
  <si>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</si>
  <si>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</si>
  <si>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</si>
  <si>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</si>
  <si>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</si>
  <si>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</si>
  <si>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</si>
  <si>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</si>
  <si>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</si>
  <si>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</si>
  <si>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</si>
  <si>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Mês</t>
  </si>
  <si>
    <t>PROPLAN</t>
  </si>
  <si>
    <t>/CODEOR</t>
  </si>
  <si>
    <t>Status</t>
  </si>
  <si>
    <t>Custeio</t>
  </si>
  <si>
    <t>Capital</t>
  </si>
  <si>
    <t>Classificação</t>
  </si>
  <si>
    <t>Pago</t>
  </si>
  <si>
    <t>Planejado</t>
  </si>
  <si>
    <t>Cancelado</t>
  </si>
  <si>
    <t>Pendente</t>
  </si>
  <si>
    <t>Row Labels</t>
  </si>
  <si>
    <t>(blank)</t>
  </si>
  <si>
    <t>Grand Total</t>
  </si>
  <si>
    <t>Sum of Custo Total</t>
  </si>
  <si>
    <t>classificacao</t>
  </si>
  <si>
    <t>executado</t>
  </si>
  <si>
    <t>Column Labels</t>
  </si>
  <si>
    <t>e-mail</t>
  </si>
  <si>
    <t>ramal</t>
  </si>
  <si>
    <t>nome</t>
  </si>
  <si>
    <t>unidade</t>
  </si>
  <si>
    <t>whatsapp</t>
  </si>
  <si>
    <t>lista de controle</t>
  </si>
  <si>
    <t>planejado</t>
  </si>
  <si>
    <t>UGR</t>
  </si>
  <si>
    <t>SIGLA</t>
  </si>
  <si>
    <t>UNIDADE</t>
  </si>
  <si>
    <t>REITORIA</t>
  </si>
  <si>
    <t>PRA</t>
  </si>
  <si>
    <t>PRÓ-REITORIA DE ADMINISTRAÇÃO</t>
  </si>
  <si>
    <t>PRG</t>
  </si>
  <si>
    <t>PRÓ-REITORIA DE GRADUAÇÃO</t>
  </si>
  <si>
    <t>PRAC</t>
  </si>
  <si>
    <t>PRÓ-REITORIA PARA ASSUNTOS COMUNITÁRIOS</t>
  </si>
  <si>
    <t>EDU</t>
  </si>
  <si>
    <t>EDITORA UNIVERSITÁRIA</t>
  </si>
  <si>
    <t>STI</t>
  </si>
  <si>
    <t>SUPERINTENDÊNCIA DE TECNOLOGIA DA INFORMAÇÃO</t>
  </si>
  <si>
    <t>CCSA</t>
  </si>
  <si>
    <t>CENTRO DE CIÊNCIAS SOCIAIS APLICADAS</t>
  </si>
  <si>
    <t>CCHL</t>
  </si>
  <si>
    <t>CENTRO DE CIÊNCIAS HUMANAS E LETRAS</t>
  </si>
  <si>
    <t>CCS</t>
  </si>
  <si>
    <t>CENTRO DE CIÊNCIAS DA SAÚDE</t>
  </si>
  <si>
    <t>CT</t>
  </si>
  <si>
    <t>CENTRO DE TECNOLOGIA</t>
  </si>
  <si>
    <t>CE</t>
  </si>
  <si>
    <t>CENTRO DE EDUCAÇÃO</t>
  </si>
  <si>
    <t>CCJ</t>
  </si>
  <si>
    <t>CENTRO DE CIÊNCIAS JURÍDICAS</t>
  </si>
  <si>
    <t>PROGEP</t>
  </si>
  <si>
    <t>PRÓ-REITORIA DE GESTÃO DE PESSOAS</t>
  </si>
  <si>
    <t>CCAE</t>
  </si>
  <si>
    <t>CENTRO DE CIÊNCIAS APLICADAS E EDUCAÇÃO</t>
  </si>
  <si>
    <t>CCM</t>
  </si>
  <si>
    <t>CENTRO DE CIÊNCIAS MÉDICAS</t>
  </si>
  <si>
    <t>CBIOTEC</t>
  </si>
  <si>
    <t>CENTRO DE BIOTECNOLOGIA</t>
  </si>
  <si>
    <t>PRÓ-REITORIA DE PLANEJAMENTO</t>
  </si>
  <si>
    <t>CTDR</t>
  </si>
  <si>
    <t>CENTRO DE TECNOLOGIA E DESENVOLVIMENTO RURAL</t>
  </si>
  <si>
    <t>PRAPE</t>
  </si>
  <si>
    <t>PRÓ-REITORIA DE ASSISTÊNCIA E PROMOÇÃO AO ESTUDANTE</t>
  </si>
  <si>
    <t>CI</t>
  </si>
  <si>
    <t>CENTRO DE INFORMÁTICA</t>
  </si>
  <si>
    <t>CEAR</t>
  </si>
  <si>
    <t>CENTRO DE ENERGIAS ALTERNATIVAS E RENOVÁVEIS</t>
  </si>
  <si>
    <t>CCTA</t>
  </si>
  <si>
    <t>CENTRO DE COMUNICAÇÃO, TURISMO E ARTES</t>
  </si>
  <si>
    <t>PROPESQ</t>
  </si>
  <si>
    <t>PRÓ-REITORIA DE PESQUISA</t>
  </si>
  <si>
    <t>PU</t>
  </si>
  <si>
    <t>PREFEITURA UNIVERSITÁRIA</t>
  </si>
  <si>
    <t>PRPG</t>
  </si>
  <si>
    <t>PRÓ-REITORIA DE PÓS-GRADUAÇÃO</t>
  </si>
  <si>
    <t>CCEN</t>
  </si>
  <si>
    <t>CENTRO DE CIÊNCIAS EXATAS E DA NATUREZA</t>
  </si>
  <si>
    <t>BC</t>
  </si>
  <si>
    <t>BIBLIOTECA CENTRAL</t>
  </si>
  <si>
    <t>HULW</t>
  </si>
  <si>
    <t>HOSPITAL UNIVERSITÁRIO LAURO WANDERLEY</t>
  </si>
  <si>
    <t>IPERFARM</t>
  </si>
  <si>
    <t>INSTITUTO DE PESQ. EM FÁRMACOS E MEDICAMENTOS</t>
  </si>
  <si>
    <t>CCA</t>
  </si>
  <si>
    <t>CENTRO DE CIÊNCIAS AGRÁRIAS</t>
  </si>
  <si>
    <t>CCHSA</t>
  </si>
  <si>
    <t>CENTRO DE CIÊNCIAS HUMANAS SOCIAIS E AGRÁRIAS</t>
  </si>
  <si>
    <t>acompanhe o progresso do planejamento e a execução das despesas da unidade em relação aos créditos orçamentários</t>
  </si>
  <si>
    <t>acompanhamento de gastos mensais</t>
  </si>
  <si>
    <t>despesas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</si>
  <si>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</si>
  <si>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</si>
  <si>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</si>
  <si>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</si>
  <si>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</si>
  <si>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</si>
  <si>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</si>
  <si>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</si>
  <si>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</si>
  <si>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</si>
  <si>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</si>
  <si>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</si>
  <si>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estimativa de recursos em despesas correntes</t>
  </si>
  <si>
    <t>estimativa de recursos em despesas de capital</t>
  </si>
  <si>
    <t>lista de compartilhamento</t>
  </si>
  <si>
    <t>distribuição orçamentária</t>
  </si>
  <si>
    <t>Diárias</t>
  </si>
  <si>
    <t>Material Permanente</t>
  </si>
  <si>
    <t>Material de Consumo</t>
  </si>
  <si>
    <t>Passagens</t>
  </si>
  <si>
    <t>Serviços Pessoa Física</t>
  </si>
  <si>
    <t>Serviços Pessoa Jurídica</t>
  </si>
  <si>
    <t>Contribuições</t>
  </si>
  <si>
    <t>Bolsas</t>
  </si>
  <si>
    <t>versão do excel</t>
  </si>
  <si>
    <t>código</t>
  </si>
  <si>
    <t>categoria econômica</t>
  </si>
  <si>
    <t>classificação</t>
  </si>
  <si>
    <t>créditos de custeio</t>
  </si>
  <si>
    <t>créditos de capital</t>
  </si>
  <si>
    <t>categoria</t>
  </si>
  <si>
    <t>diárias</t>
  </si>
  <si>
    <t>crédito detalhado</t>
  </si>
  <si>
    <t>material de consumo</t>
  </si>
  <si>
    <t>passagens</t>
  </si>
  <si>
    <t>serviços pessoa física</t>
  </si>
  <si>
    <t>serviços pessoa jurídica</t>
  </si>
  <si>
    <t>contribuições</t>
  </si>
  <si>
    <t>crédito detalhado:</t>
  </si>
  <si>
    <t>material permanente</t>
  </si>
  <si>
    <t xml:space="preserve">sumário </t>
  </si>
  <si>
    <t>x</t>
  </si>
  <si>
    <t>insira aqui a descrição do 1º item e altere a classificação de acordo com a natureza da despesa</t>
  </si>
  <si>
    <t>Ao inserir um item selecione o status "Planejado"</t>
  </si>
  <si>
    <t>para inserir novos item clique no botão "Adicionar Nova Linha" para que os campos sejam criados</t>
  </si>
  <si>
    <t>Qualquer dúvida entrar em contato com a CODEOR</t>
  </si>
  <si>
    <t>EMPENHO</t>
  </si>
  <si>
    <t>LINK</t>
  </si>
  <si>
    <t>REQUISIÇÃO</t>
  </si>
  <si>
    <t>Site base para consulta de empenho:</t>
  </si>
  <si>
    <t>http://www.portaltransparencia.gov.br/despesasdiarias/empenho?documento=153065152312018NE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</si>
</sst>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[$-F400]h:mm:ss\ AM/PM"/>
  </numFmts>
  <fonts count="29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36"/>
      <color theme="1"/>
      <name val="Impact"/>
      <family val="2"/>
    </font>
    <font>
      <sz val="36"/>
      <color theme="4"/>
      <name val="Impact"/>
      <family val="2"/>
    </font>
    <font>
      <sz val="11"/>
      <color theme="1"/>
      <name val="Calibri"/>
      <family val="2"/>
      <scheme val="minor"/>
    </font>
    <font>
      <b/>
      <sz val="18"/>
      <color theme="4"/>
      <name val="Calibri"/>
      <family val="2"/>
      <scheme val="minor"/>
    </font>
    <font>
      <sz val="20"/>
      <color theme="1"/>
      <name val="Impact"/>
      <family val="2"/>
    </font>
    <font>
      <sz val="18"/>
      <color theme="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2" tint="-0.89999084444715716"/>
      <name val="Impact"/>
      <family val="2"/>
    </font>
    <font>
      <sz val="13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Impact"/>
      <family val="2"/>
    </font>
    <font>
      <sz val="16"/>
      <color theme="1"/>
      <name val="Impact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8"/>
      <color theme="8" tint="-0.499984740745262"/>
      <name val="Impact"/>
      <family val="2"/>
    </font>
    <font>
      <sz val="14"/>
      <color theme="4" tint="-0.499984740745262"/>
      <name val="Impact"/>
      <family val="2"/>
    </font>
    <font>
      <sz val="11"/>
      <color theme="1"/>
      <name val="Calibri "/>
    </font>
    <font>
      <sz val="13"/>
      <color theme="1"/>
      <name val="Calibri "/>
    </font>
    <font>
      <sz val="9"/>
      <color theme="1"/>
      <name val="Calibri"/>
      <family val="2"/>
      <scheme val="minor"/>
    </font>
    <font>
      <sz val="18"/>
      <color theme="4"/>
      <name val="Impact"/>
      <family val="2"/>
    </font>
    <font>
      <sz val="14"/>
      <color theme="1"/>
      <name val="Impact"/>
      <family val="2"/>
    </font>
    <font>
      <sz val="11"/>
      <color theme="4"/>
      <name val="Impact"/>
      <family val="2"/>
    </font>
    <font>
      <sz val="19"/>
      <color theme="1"/>
      <name val="Impact"/>
      <family val="2"/>
    </font>
    <font>
      <sz val="18"/>
      <color theme="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thick">
        <color theme="4"/>
      </top>
      <bottom/>
      <diagonal/>
    </border>
    <border>
      <left/>
      <right/>
      <top/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dotted">
        <color theme="4"/>
      </bottom>
      <diagonal/>
    </border>
    <border>
      <left/>
      <right/>
      <top style="dotted">
        <color theme="4"/>
      </top>
      <bottom/>
      <diagonal/>
    </border>
    <border>
      <left style="dotted">
        <color theme="4"/>
      </left>
      <right style="dotted">
        <color theme="4"/>
      </right>
      <top/>
      <bottom/>
      <diagonal/>
    </border>
    <border>
      <left style="dotted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/>
      <right style="thin">
        <color theme="4"/>
      </right>
      <top/>
      <bottom style="dotted">
        <color theme="4"/>
      </bottom>
      <diagonal/>
    </border>
    <border>
      <left/>
      <right style="thin">
        <color theme="4"/>
      </right>
      <top style="dotted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dotted">
        <color theme="4"/>
      </bottom>
      <diagonal/>
    </border>
    <border>
      <left style="thin">
        <color theme="4"/>
      </left>
      <right/>
      <top/>
      <bottom style="dotted">
        <color theme="4"/>
      </bottom>
      <diagonal/>
    </border>
    <border>
      <left style="thin">
        <color theme="4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9" fontId="6" fillId="0" borderId="0" applyFont="0" applyFill="0" applyBorder="0" applyAlignment="0" applyProtection="0"/>
    <xf numFmtId="0" fontId="10" fillId="0" borderId="0" applyNumberFormat="0" applyFill="0" applyBorder="0" applyAlignment="0">
      <alignment vertical="center"/>
    </xf>
    <xf numFmtId="0" fontId="13" fillId="0" borderId="0" applyNumberFormat="0" applyFill="0" applyBorder="0" applyAlignment="0" applyProtection="0"/>
    <xf numFmtId="44" fontId="6" fillId="0" borderId="0" applyFont="0" applyFill="0" applyBorder="0" applyAlignment="0" applyProtection="0"/>
  </cellStyleXfs>
  <cellXfs count="150">
    <xf numFmtId="0" fontId="0" fillId="0" borderId="0" xfId="0"/>
    <xf numFmtId="0" fontId="3" fillId="0" borderId="0" xfId="0" applyFont="1" applyFill="1" applyBorder="1" applyAlignment="1">
      <alignment vertical="center" wrapText="1"/>
    </xf>
    <xf numFmtId="0" fontId="0" fillId="0" borderId="0" xfId="0" applyFill="1"/>
    <xf numFmtId="0" fontId="0" fillId="0" borderId="0" xfId="0" applyFill="1" applyBorder="1"/>
    <xf numFmtId="0" fontId="0" fillId="2" borderId="0" xfId="0" applyFill="1"/>
    <xf numFmtId="0" fontId="2" fillId="0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7" fillId="2" borderId="0" xfId="1" applyFont="1" applyFill="1" applyBorder="1"/>
    <xf numFmtId="0" fontId="3" fillId="0" borderId="0" xfId="0" applyFont="1" applyFill="1" applyAlignment="1">
      <alignment vertical="center" wrapText="1"/>
    </xf>
    <xf numFmtId="0" fontId="0" fillId="2" borderId="0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13" fillId="0" borderId="0" xfId="4" applyFill="1"/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Alignment="1" applyProtection="1">
      <alignment horizontal="left" wrapText="1"/>
      <protection locked="0"/>
    </xf>
    <xf numFmtId="165" fontId="0" fillId="0" borderId="0" xfId="0" applyNumberFormat="1" applyFill="1" applyAlignment="1" applyProtection="1">
      <alignment wrapText="1"/>
      <protection locked="0"/>
    </xf>
    <xf numFmtId="164" fontId="0" fillId="0" borderId="0" xfId="0" applyNumberFormat="1" applyFill="1" applyAlignment="1" applyProtection="1">
      <alignment wrapText="1"/>
      <protection locked="0"/>
    </xf>
    <xf numFmtId="0" fontId="0" fillId="0" borderId="0" xfId="0" applyFill="1" applyAlignment="1" applyProtection="1">
      <alignment horizontal="center" wrapText="1"/>
      <protection locked="0"/>
    </xf>
    <xf numFmtId="0" fontId="0" fillId="2" borderId="0" xfId="0" applyFill="1" applyProtection="1"/>
    <xf numFmtId="0" fontId="4" fillId="2" borderId="0" xfId="0" applyFont="1" applyFill="1" applyAlignment="1" applyProtection="1">
      <alignment horizontal="right" vertical="center"/>
    </xf>
    <xf numFmtId="0" fontId="5" fillId="2" borderId="0" xfId="0" applyFont="1" applyFill="1" applyAlignment="1" applyProtection="1">
      <alignment vertical="center"/>
    </xf>
    <xf numFmtId="0" fontId="0" fillId="2" borderId="0" xfId="0" applyFill="1" applyAlignment="1" applyProtection="1">
      <alignment horizontal="center"/>
    </xf>
    <xf numFmtId="0" fontId="12" fillId="2" borderId="0" xfId="0" applyFont="1" applyFill="1" applyAlignment="1" applyProtection="1">
      <alignment horizontal="right"/>
    </xf>
    <xf numFmtId="0" fontId="0" fillId="2" borderId="0" xfId="0" applyFill="1" applyAlignment="1" applyProtection="1">
      <alignment horizontal="right" vertical="center"/>
    </xf>
    <xf numFmtId="44" fontId="0" fillId="2" borderId="0" xfId="0" applyNumberFormat="1" applyFill="1" applyAlignment="1" applyProtection="1">
      <alignment vertical="center"/>
    </xf>
    <xf numFmtId="0" fontId="0" fillId="2" borderId="1" xfId="0" applyFill="1" applyBorder="1" applyAlignment="1" applyProtection="1">
      <alignment horizontal="right" vertical="center"/>
    </xf>
    <xf numFmtId="44" fontId="0" fillId="2" borderId="1" xfId="0" applyNumberFormat="1" applyFill="1" applyBorder="1" applyAlignment="1" applyProtection="1">
      <alignment vertical="center"/>
    </xf>
    <xf numFmtId="0" fontId="0" fillId="2" borderId="2" xfId="0" applyFill="1" applyBorder="1" applyAlignment="1" applyProtection="1">
      <alignment horizontal="right" vertical="center"/>
    </xf>
    <xf numFmtId="44" fontId="0" fillId="2" borderId="2" xfId="0" applyNumberFormat="1" applyFill="1" applyBorder="1" applyAlignment="1" applyProtection="1">
      <alignment vertical="center"/>
    </xf>
    <xf numFmtId="0" fontId="0" fillId="2" borderId="0" xfId="0" applyFill="1" applyBorder="1" applyAlignment="1" applyProtection="1">
      <alignment horizontal="right" vertical="center"/>
    </xf>
    <xf numFmtId="44" fontId="0" fillId="2" borderId="0" xfId="0" applyNumberFormat="1" applyFill="1" applyBorder="1" applyAlignment="1" applyProtection="1">
      <alignment vertical="center"/>
    </xf>
    <xf numFmtId="0" fontId="0" fillId="2" borderId="0" xfId="0" applyFill="1" applyProtection="1">
      <protection hidden="1"/>
    </xf>
    <xf numFmtId="0" fontId="0" fillId="2" borderId="0" xfId="0" applyFill="1" applyProtection="1">
      <protection locked="0" hidden="1"/>
    </xf>
    <xf numFmtId="0" fontId="0" fillId="0" borderId="0" xfId="0" applyFill="1" applyAlignment="1" applyProtection="1">
      <alignment wrapText="1"/>
      <protection locked="0" hidden="1"/>
    </xf>
    <xf numFmtId="0" fontId="0" fillId="0" borderId="0" xfId="0" applyFill="1" applyAlignment="1" applyProtection="1">
      <alignment vertical="center" wrapText="1"/>
      <protection locked="0" hidden="1"/>
    </xf>
    <xf numFmtId="0" fontId="0" fillId="0" borderId="0" xfId="0" applyFill="1" applyAlignment="1">
      <alignment horizontal="center" vertical="center"/>
    </xf>
    <xf numFmtId="0" fontId="17" fillId="4" borderId="3" xfId="0" applyFont="1" applyFill="1" applyBorder="1" applyAlignment="1">
      <alignment horizontal="left"/>
    </xf>
    <xf numFmtId="0" fontId="0" fillId="6" borderId="4" xfId="0" applyFont="1" applyFill="1" applyBorder="1" applyAlignment="1">
      <alignment horizontal="left"/>
    </xf>
    <xf numFmtId="0" fontId="0" fillId="5" borderId="4" xfId="0" applyFont="1" applyFill="1" applyBorder="1" applyAlignment="1">
      <alignment horizontal="left"/>
    </xf>
    <xf numFmtId="0" fontId="0" fillId="6" borderId="5" xfId="0" applyFont="1" applyFill="1" applyBorder="1" applyAlignment="1">
      <alignment horizontal="left"/>
    </xf>
    <xf numFmtId="0" fontId="14" fillId="7" borderId="0" xfId="0" applyFont="1" applyFill="1" applyAlignment="1">
      <alignment wrapText="1"/>
    </xf>
    <xf numFmtId="0" fontId="19" fillId="7" borderId="0" xfId="0" applyFont="1" applyFill="1" applyAlignment="1">
      <alignment horizontal="right" vertical="center" wrapText="1"/>
    </xf>
    <xf numFmtId="0" fontId="5" fillId="2" borderId="0" xfId="0" applyFont="1" applyFill="1"/>
    <xf numFmtId="0" fontId="0" fillId="2" borderId="6" xfId="0" applyFill="1" applyBorder="1" applyAlignment="1" applyProtection="1">
      <alignment horizontal="right" vertical="center"/>
    </xf>
    <xf numFmtId="44" fontId="0" fillId="2" borderId="6" xfId="0" applyNumberFormat="1" applyFill="1" applyBorder="1" applyAlignment="1" applyProtection="1">
      <alignment vertical="center"/>
    </xf>
    <xf numFmtId="0" fontId="0" fillId="2" borderId="6" xfId="0" applyFill="1" applyBorder="1" applyAlignment="1" applyProtection="1">
      <alignment horizontal="center"/>
    </xf>
    <xf numFmtId="0" fontId="0" fillId="2" borderId="6" xfId="0" applyFill="1" applyBorder="1" applyProtection="1"/>
    <xf numFmtId="0" fontId="0" fillId="0" borderId="8" xfId="0" applyFill="1" applyBorder="1" applyAlignment="1">
      <alignment horizontal="center" vertical="center"/>
    </xf>
    <xf numFmtId="43" fontId="0" fillId="0" borderId="8" xfId="0" applyNumberFormat="1" applyFill="1" applyBorder="1"/>
    <xf numFmtId="0" fontId="0" fillId="2" borderId="8" xfId="0" applyFill="1" applyBorder="1"/>
    <xf numFmtId="0" fontId="0" fillId="2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3" fontId="0" fillId="0" borderId="9" xfId="0" applyNumberFormat="1" applyFill="1" applyBorder="1"/>
    <xf numFmtId="0" fontId="0" fillId="2" borderId="9" xfId="0" applyFill="1" applyBorder="1"/>
    <xf numFmtId="0" fontId="0" fillId="2" borderId="9" xfId="0" applyFill="1" applyBorder="1" applyAlignment="1">
      <alignment horizontal="center" vertical="center"/>
    </xf>
    <xf numFmtId="0" fontId="0" fillId="3" borderId="0" xfId="0" applyFill="1"/>
    <xf numFmtId="0" fontId="20" fillId="2" borderId="0" xfId="0" applyFont="1" applyFill="1" applyAlignment="1">
      <alignment horizontal="right" vertical="center"/>
    </xf>
    <xf numFmtId="0" fontId="15" fillId="2" borderId="0" xfId="0" applyFont="1" applyFill="1" applyAlignment="1"/>
    <xf numFmtId="0" fontId="15" fillId="2" borderId="0" xfId="0" applyFont="1" applyFill="1" applyAlignment="1">
      <alignment vertical="center"/>
    </xf>
    <xf numFmtId="0" fontId="21" fillId="2" borderId="0" xfId="0" applyFont="1" applyFill="1" applyAlignment="1">
      <alignment horizontal="right" vertical="center"/>
    </xf>
    <xf numFmtId="0" fontId="4" fillId="2" borderId="0" xfId="0" applyFont="1" applyFill="1" applyAlignment="1" applyProtection="1">
      <alignment horizontal="right"/>
    </xf>
    <xf numFmtId="0" fontId="5" fillId="2" borderId="0" xfId="0" applyFont="1" applyFill="1" applyProtection="1"/>
    <xf numFmtId="44" fontId="3" fillId="0" borderId="0" xfId="0" applyNumberFormat="1" applyFont="1" applyFill="1" applyBorder="1" applyAlignment="1" applyProtection="1">
      <alignment vertical="center" wrapText="1"/>
      <protection locked="0"/>
    </xf>
    <xf numFmtId="44" fontId="3" fillId="0" borderId="0" xfId="0" applyNumberFormat="1" applyFont="1" applyFill="1" applyAlignment="1" applyProtection="1">
      <alignment vertical="center" wrapText="1"/>
      <protection locked="0"/>
    </xf>
    <xf numFmtId="0" fontId="11" fillId="2" borderId="10" xfId="1" applyFont="1" applyFill="1" applyBorder="1" applyAlignment="1" applyProtection="1">
      <alignment horizontal="right"/>
    </xf>
    <xf numFmtId="0" fontId="11" fillId="2" borderId="11" xfId="1" applyFont="1" applyFill="1" applyBorder="1" applyAlignment="1" applyProtection="1">
      <alignment horizontal="right"/>
    </xf>
    <xf numFmtId="0" fontId="11" fillId="2" borderId="12" xfId="1" applyFont="1" applyFill="1" applyBorder="1" applyAlignment="1" applyProtection="1">
      <alignment horizontal="right"/>
    </xf>
    <xf numFmtId="0" fontId="0" fillId="2" borderId="0" xfId="0" applyFill="1" applyBorder="1" applyAlignment="1" applyProtection="1">
      <alignment horizontal="center"/>
    </xf>
    <xf numFmtId="0" fontId="23" fillId="2" borderId="0" xfId="1" applyFont="1" applyFill="1" applyBorder="1"/>
    <xf numFmtId="0" fontId="0" fillId="2" borderId="0" xfId="0" applyFill="1" applyAlignment="1" applyProtection="1">
      <alignment horizontal="right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4" fontId="0" fillId="2" borderId="6" xfId="5" applyFont="1" applyFill="1" applyBorder="1"/>
    <xf numFmtId="0" fontId="23" fillId="2" borderId="0" xfId="1" applyFont="1" applyFill="1" applyBorder="1" applyAlignment="1"/>
    <xf numFmtId="0" fontId="23" fillId="2" borderId="0" xfId="1" applyFont="1" applyFill="1" applyProtection="1">
      <protection locked="0"/>
    </xf>
    <xf numFmtId="0" fontId="0" fillId="2" borderId="6" xfId="0" applyFill="1" applyBorder="1"/>
    <xf numFmtId="0" fontId="0" fillId="0" borderId="0" xfId="0" applyFill="1" applyBorder="1" applyAlignment="1">
      <alignment horizontal="right"/>
    </xf>
    <xf numFmtId="43" fontId="0" fillId="7" borderId="8" xfId="0" applyNumberFormat="1" applyFont="1" applyFill="1" applyBorder="1" applyAlignment="1">
      <alignment horizontal="center" vertical="center"/>
    </xf>
    <xf numFmtId="43" fontId="0" fillId="7" borderId="9" xfId="0" applyNumberFormat="1" applyFont="1" applyFill="1" applyBorder="1" applyAlignment="1">
      <alignment horizontal="center" vertical="center"/>
    </xf>
    <xf numFmtId="0" fontId="9" fillId="2" borderId="0" xfId="0" applyFont="1" applyFill="1" applyAlignment="1" applyProtection="1">
      <alignment horizontal="right" vertical="top"/>
    </xf>
    <xf numFmtId="0" fontId="0" fillId="2" borderId="0" xfId="0" applyFill="1" applyAlignment="1">
      <alignment vertical="center"/>
    </xf>
    <xf numFmtId="0" fontId="0" fillId="2" borderId="0" xfId="0" applyFill="1" applyBorder="1"/>
    <xf numFmtId="0" fontId="25" fillId="2" borderId="0" xfId="0" applyFont="1" applyFill="1"/>
    <xf numFmtId="0" fontId="25" fillId="2" borderId="7" xfId="0" applyFont="1" applyFill="1" applyBorder="1"/>
    <xf numFmtId="0" fontId="0" fillId="2" borderId="7" xfId="0" applyFill="1" applyBorder="1"/>
    <xf numFmtId="0" fontId="0" fillId="2" borderId="0" xfId="0" applyFill="1" applyAlignment="1">
      <alignment vertical="top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right"/>
    </xf>
    <xf numFmtId="0" fontId="0" fillId="2" borderId="6" xfId="0" applyFill="1" applyBorder="1" applyAlignment="1">
      <alignment horizontal="right" vertical="top"/>
    </xf>
    <xf numFmtId="44" fontId="0" fillId="2" borderId="0" xfId="5" applyFont="1" applyFill="1" applyAlignment="1"/>
    <xf numFmtId="44" fontId="0" fillId="2" borderId="6" xfId="5" applyFont="1" applyFill="1" applyBorder="1" applyAlignment="1">
      <alignment vertical="top"/>
    </xf>
    <xf numFmtId="44" fontId="0" fillId="2" borderId="2" xfId="5" applyFont="1" applyFill="1" applyBorder="1" applyAlignment="1"/>
    <xf numFmtId="44" fontId="0" fillId="2" borderId="0" xfId="5" applyFont="1" applyFill="1"/>
    <xf numFmtId="44" fontId="0" fillId="2" borderId="13" xfId="5" applyFont="1" applyFill="1" applyBorder="1" applyAlignment="1">
      <alignment vertical="top"/>
    </xf>
    <xf numFmtId="0" fontId="0" fillId="2" borderId="13" xfId="0" applyFill="1" applyBorder="1" applyAlignment="1">
      <alignment horizontal="right" vertical="top"/>
    </xf>
    <xf numFmtId="0" fontId="11" fillId="2" borderId="10" xfId="1" applyFont="1" applyFill="1" applyBorder="1" applyAlignment="1" applyProtection="1">
      <alignment horizontal="right" vertical="top"/>
    </xf>
    <xf numFmtId="44" fontId="0" fillId="2" borderId="2" xfId="5" applyFont="1" applyFill="1" applyBorder="1"/>
    <xf numFmtId="0" fontId="0" fillId="2" borderId="15" xfId="0" applyFill="1" applyBorder="1"/>
    <xf numFmtId="44" fontId="0" fillId="2" borderId="14" xfId="5" applyFont="1" applyFill="1" applyBorder="1"/>
    <xf numFmtId="0" fontId="0" fillId="2" borderId="7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 vertical="top"/>
    </xf>
    <xf numFmtId="9" fontId="10" fillId="2" borderId="0" xfId="2" applyFont="1" applyFill="1"/>
    <xf numFmtId="0" fontId="10" fillId="2" borderId="0" xfId="0" applyFont="1" applyFill="1"/>
    <xf numFmtId="0" fontId="27" fillId="2" borderId="0" xfId="0" applyFont="1" applyFill="1" applyAlignment="1" applyProtection="1">
      <alignment vertical="top"/>
    </xf>
    <xf numFmtId="0" fontId="0" fillId="2" borderId="0" xfId="0" applyFill="1" applyBorder="1" applyAlignment="1" applyProtection="1">
      <alignment vertical="top"/>
    </xf>
    <xf numFmtId="0" fontId="0" fillId="2" borderId="0" xfId="0" applyFill="1" applyBorder="1" applyProtection="1"/>
    <xf numFmtId="9" fontId="10" fillId="2" borderId="0" xfId="2" applyFont="1" applyFill="1" applyBorder="1" applyProtection="1"/>
    <xf numFmtId="0" fontId="11" fillId="2" borderId="0" xfId="1" applyFont="1" applyFill="1" applyBorder="1" applyAlignment="1" applyProtection="1">
      <alignment horizontal="right"/>
    </xf>
    <xf numFmtId="0" fontId="11" fillId="2" borderId="6" xfId="1" applyFont="1" applyFill="1" applyBorder="1" applyAlignment="1" applyProtection="1">
      <alignment horizontal="right"/>
    </xf>
    <xf numFmtId="0" fontId="0" fillId="2" borderId="10" xfId="0" applyFill="1" applyBorder="1"/>
    <xf numFmtId="0" fontId="0" fillId="2" borderId="16" xfId="0" applyFont="1" applyFill="1" applyBorder="1" applyAlignment="1">
      <alignment vertical="top"/>
    </xf>
    <xf numFmtId="0" fontId="0" fillId="2" borderId="13" xfId="0" applyFont="1" applyFill="1" applyBorder="1" applyAlignment="1">
      <alignment horizontal="right" vertical="top"/>
    </xf>
    <xf numFmtId="44" fontId="6" fillId="2" borderId="13" xfId="5" applyFont="1" applyFill="1" applyBorder="1" applyAlignment="1">
      <alignment vertical="top"/>
    </xf>
    <xf numFmtId="0" fontId="0" fillId="2" borderId="16" xfId="0" applyFill="1" applyBorder="1" applyProtection="1"/>
    <xf numFmtId="0" fontId="0" fillId="2" borderId="16" xfId="0" applyFill="1" applyBorder="1"/>
    <xf numFmtId="0" fontId="10" fillId="2" borderId="6" xfId="0" applyFont="1" applyFill="1" applyBorder="1"/>
    <xf numFmtId="0" fontId="0" fillId="2" borderId="0" xfId="0" applyFill="1" applyBorder="1" applyAlignment="1">
      <alignment vertical="top"/>
    </xf>
    <xf numFmtId="9" fontId="10" fillId="2" borderId="0" xfId="2" applyFont="1" applyFill="1" applyBorder="1"/>
    <xf numFmtId="0" fontId="0" fillId="2" borderId="0" xfId="0" applyFont="1" applyFill="1" applyBorder="1" applyAlignment="1">
      <alignment vertical="top"/>
    </xf>
    <xf numFmtId="0" fontId="0" fillId="0" borderId="17" xfId="0" applyFill="1" applyBorder="1" applyAlignment="1" applyProtection="1">
      <alignment vertical="center" wrapText="1"/>
      <protection locked="0"/>
    </xf>
    <xf numFmtId="0" fontId="0" fillId="0" borderId="18" xfId="0" applyFont="1" applyFill="1" applyBorder="1" applyAlignment="1" applyProtection="1">
      <alignment vertical="center" wrapText="1"/>
      <protection locked="0"/>
    </xf>
    <xf numFmtId="0" fontId="0" fillId="0" borderId="18" xfId="0" applyFill="1" applyBorder="1" applyAlignment="1" applyProtection="1">
      <alignment horizontal="center" vertical="center" wrapText="1"/>
      <protection locked="0"/>
    </xf>
    <xf numFmtId="44" fontId="0" fillId="0" borderId="18" xfId="0" applyNumberFormat="1" applyFill="1" applyBorder="1" applyAlignment="1" applyProtection="1">
      <alignment vertical="center" wrapText="1"/>
      <protection locked="0"/>
    </xf>
    <xf numFmtId="165" fontId="0" fillId="0" borderId="18" xfId="0" applyNumberFormat="1" applyFill="1" applyBorder="1" applyAlignment="1" applyProtection="1">
      <alignment vertical="center" wrapText="1"/>
      <protection locked="0"/>
    </xf>
    <xf numFmtId="44" fontId="0" fillId="0" borderId="18" xfId="0" applyNumberFormat="1" applyFill="1" applyBorder="1" applyAlignment="1" applyProtection="1">
      <alignment vertical="center" wrapText="1"/>
    </xf>
    <xf numFmtId="0" fontId="0" fillId="0" borderId="19" xfId="0" applyFill="1" applyBorder="1" applyAlignment="1" applyProtection="1">
      <alignment vertical="center" wrapText="1"/>
      <protection locked="0"/>
    </xf>
    <xf numFmtId="0" fontId="12" fillId="2" borderId="0" xfId="0" applyFont="1" applyFill="1" applyAlignment="1" applyProtection="1">
      <alignment horizontal="right"/>
      <protection locked="0"/>
    </xf>
    <xf numFmtId="0" fontId="0" fillId="0" borderId="18" xfId="0" applyFill="1" applyBorder="1" applyAlignment="1" applyProtection="1">
      <alignment vertical="center" wrapText="1"/>
      <protection locked="0"/>
    </xf>
    <xf numFmtId="0" fontId="0" fillId="0" borderId="0" xfId="0" applyNumberFormat="1" applyFill="1" applyAlignment="1" applyProtection="1">
      <alignment vertical="center" wrapText="1"/>
      <protection locked="0" hidden="1"/>
    </xf>
    <xf numFmtId="0" fontId="0" fillId="2" borderId="14" xfId="0" applyFill="1" applyBorder="1" applyAlignment="1">
      <alignment horizontal="right"/>
    </xf>
    <xf numFmtId="0" fontId="0" fillId="2" borderId="6" xfId="0" applyFill="1" applyBorder="1" applyAlignment="1">
      <alignment horizontal="right"/>
    </xf>
    <xf numFmtId="0" fontId="0" fillId="2" borderId="0" xfId="0" applyFill="1" applyAlignment="1" applyProtection="1">
      <alignment horizontal="right"/>
    </xf>
    <xf numFmtId="0" fontId="10" fillId="2" borderId="0" xfId="0" applyFont="1" applyFill="1" applyAlignment="1" applyProtection="1">
      <alignment horizontal="right"/>
    </xf>
    <xf numFmtId="0" fontId="0" fillId="0" borderId="19" xfId="0" applyFill="1" applyBorder="1" applyAlignment="1" applyProtection="1">
      <alignment horizontal="center" vertical="center" wrapText="1"/>
      <protection locked="0"/>
    </xf>
    <xf numFmtId="0" fontId="13" fillId="0" borderId="19" xfId="4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Alignment="1" applyProtection="1"/>
    <xf numFmtId="0" fontId="28" fillId="2" borderId="0" xfId="0" applyFont="1" applyFill="1" applyAlignment="1" applyProtection="1"/>
    <xf numFmtId="0" fontId="4" fillId="2" borderId="0" xfId="0" applyFont="1" applyFill="1" applyAlignment="1">
      <alignment horizontal="right"/>
    </xf>
    <xf numFmtId="0" fontId="24" fillId="2" borderId="6" xfId="0" applyFont="1" applyFill="1" applyBorder="1" applyAlignment="1">
      <alignment horizontal="right"/>
    </xf>
    <xf numFmtId="0" fontId="0" fillId="3" borderId="0" xfId="0" applyFill="1" applyAlignment="1" applyProtection="1">
      <alignment horizontal="center"/>
    </xf>
    <xf numFmtId="0" fontId="0" fillId="2" borderId="0" xfId="0" applyFill="1" applyAlignment="1" applyProtection="1">
      <alignment horizontal="right"/>
    </xf>
    <xf numFmtId="0" fontId="26" fillId="2" borderId="0" xfId="0" applyFont="1" applyFill="1" applyAlignment="1" applyProtection="1">
      <alignment horizontal="center" vertical="top"/>
    </xf>
    <xf numFmtId="0" fontId="8" fillId="2" borderId="0" xfId="0" applyFont="1" applyFill="1" applyAlignment="1" applyProtection="1">
      <alignment horizontal="center"/>
    </xf>
    <xf numFmtId="0" fontId="22" fillId="2" borderId="0" xfId="0" applyFont="1" applyFill="1" applyBorder="1" applyAlignment="1" applyProtection="1">
      <alignment horizontal="left" vertical="top" wrapText="1"/>
    </xf>
    <xf numFmtId="0" fontId="18" fillId="2" borderId="0" xfId="0" applyFont="1" applyFill="1" applyBorder="1" applyAlignment="1">
      <alignment horizontal="left" vertical="center" wrapText="1"/>
    </xf>
  </cellXfs>
  <cellStyles count="6">
    <cellStyle name="Currency" xfId="5" builtinId="4"/>
    <cellStyle name="Heading 4" xfId="1" builtinId="19"/>
    <cellStyle name="Hyperlink" xfId="4" builtinId="8"/>
    <cellStyle name="Normal" xfId="0" builtinId="0"/>
    <cellStyle name="Percent" xfId="2" builtinId="5"/>
    <cellStyle name="zHide text" xfId="3"/>
  </cellStyles>
  <dxfs count="71"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color rgb="FFC00000"/>
      </font>
      <fill>
        <patternFill patternType="solid">
          <bgColor theme="0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dotted">
          <color theme="4"/>
        </left>
        <right/>
        <top/>
        <bottom/>
        <vertical/>
        <horizontal/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dotted">
          <color theme="4"/>
        </left>
        <right style="dotted">
          <color theme="4"/>
        </right>
        <top/>
        <bottom/>
        <vertical style="dotted">
          <color theme="4"/>
        </vertical>
        <horizontal/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dotted">
          <color theme="4"/>
        </left>
        <right style="dotted">
          <color theme="4"/>
        </right>
        <top/>
        <bottom/>
        <vertical style="dotted">
          <color theme="4"/>
        </vertical>
        <horizontal/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dotted">
          <color theme="4"/>
        </left>
        <right style="dotted">
          <color theme="4"/>
        </right>
        <top/>
        <bottom/>
        <vertical style="dotted">
          <color theme="4"/>
        </vertical>
        <horizontal/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dotted">
          <color theme="4"/>
        </left>
        <right style="dotted">
          <color theme="4"/>
        </right>
        <top/>
        <bottom/>
        <vertical style="dotted">
          <color theme="4"/>
        </vertical>
        <horizontal/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dotted">
          <color theme="4"/>
        </left>
        <right style="dotted">
          <color theme="4"/>
        </right>
        <top/>
        <bottom/>
        <vertical style="dotted">
          <color theme="4"/>
        </vertical>
        <horizontal/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dotted">
          <color theme="4"/>
        </left>
        <right style="dotted">
          <color theme="4"/>
        </right>
        <top/>
        <bottom/>
        <vertical style="dotted">
          <color theme="4"/>
        </vertical>
        <horizontal/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dotted">
          <color theme="4"/>
        </left>
        <right style="dotted">
          <color theme="4"/>
        </right>
        <top/>
        <bottom/>
        <vertical style="dotted">
          <color theme="4"/>
        </vertical>
        <horizontal/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dotted">
          <color theme="4"/>
        </left>
        <right style="dotted">
          <color theme="4"/>
        </right>
        <top/>
        <bottom/>
        <vertical style="dotted">
          <color theme="4"/>
        </vertical>
        <horizontal/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dotted">
          <color theme="4"/>
        </left>
        <right style="dotted">
          <color theme="4"/>
        </right>
        <top/>
        <bottom/>
        <vertical style="dotted">
          <color theme="4"/>
        </vertical>
        <horizontal/>
      </border>
    </dxf>
    <dxf>
      <numFmt numFmtId="35" formatCode="_-* #,##0.00_-;\-* #,##0.00_-;_-* &quot;-&quot;??_-;_-@_-"/>
      <fill>
        <patternFill patternType="none">
          <fgColor indexed="64"/>
          <bgColor indexed="65"/>
        </patternFill>
      </fill>
      <border diagonalUp="0" diagonalDown="0">
        <left style="dotted">
          <color theme="4"/>
        </left>
        <right style="dotted">
          <color theme="4"/>
        </right>
        <top/>
        <bottom/>
        <vertical style="dotted">
          <color theme="4"/>
        </vertical>
        <horizontal/>
      </border>
    </dxf>
    <dxf>
      <numFmt numFmtId="35" formatCode="_-* #,##0.00_-;\-* #,##0.00_-;_-* &quot;-&quot;??_-;_-@_-"/>
      <fill>
        <patternFill patternType="none">
          <fgColor indexed="64"/>
          <bgColor auto="1"/>
        </patternFill>
      </fill>
      <border diagonalUp="0" diagonalDown="0">
        <left style="dotted">
          <color theme="4"/>
        </left>
        <right style="dotted">
          <color theme="4"/>
        </right>
        <top/>
        <bottom/>
        <vertical style="dotted">
          <color theme="4"/>
        </vertical>
        <horizontal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1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hair">
          <color auto="1"/>
        </left>
        <right/>
        <top/>
        <bottom/>
        <vertical style="hair">
          <color auto="1"/>
        </vertical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/>
        <top/>
        <bottom/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/>
        <top/>
        <bottom/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/>
        <top/>
        <bottom/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numFmt numFmtId="34" formatCode="_-&quot;R$&quot;\ * #,##0.00_-;\-&quot;R$&quot;\ * #,##0.00_-;_-&quot;R$&quot;\ * &quot;-&quot;??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numFmt numFmtId="34" formatCode="_-&quot;R$&quot;\ * #,##0.00_-;\-&quot;R$&quot;\ * #,##0.00_-;_-&quot;R$&quot;\ * &quot;-&quot;??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 style="hair">
          <color auto="1"/>
        </right>
        <top/>
        <bottom/>
        <vertical style="hair">
          <color auto="1"/>
        </vertical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0" hidden="0"/>
    </dxf>
    <dxf>
      <font>
        <strike/>
        <color theme="8" tint="0.59996337778862885"/>
      </font>
    </dxf>
    <dxf>
      <font>
        <strike val="0"/>
        <color theme="8" tint="-0.24994659260841701"/>
      </font>
    </dxf>
    <dxf>
      <font>
        <strike val="0"/>
        <color theme="0" tint="-0.499984740745262"/>
      </font>
    </dxf>
    <dxf>
      <font>
        <strike val="0"/>
        <color rgb="FFFF9933"/>
      </font>
    </dxf>
    <dxf>
      <font>
        <strike val="0"/>
        <color theme="8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4" formatCode="_-&quot;R$&quot;\ * #,##0.00_-;\-&quot;R$&quot;\ * #,##0.00_-;_-&quot;R$&quot;\ * &quot;-&quot;??_-;_-@_-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>
          <bgColor theme="0"/>
        </patternFill>
      </fill>
      <border>
        <bottom style="dotted">
          <color theme="8" tint="-0.24994659260841701"/>
        </bottom>
      </border>
    </dxf>
    <dxf>
      <fill>
        <patternFill>
          <bgColor theme="6" tint="0.79998168889431442"/>
        </patternFill>
      </fill>
      <border>
        <bottom style="dotted">
          <color theme="8" tint="0.39994506668294322"/>
        </bottom>
      </border>
    </dxf>
    <dxf>
      <fill>
        <patternFill>
          <bgColor theme="0"/>
        </patternFill>
      </fill>
      <border>
        <bottom style="thick">
          <color theme="8" tint="-0.24994659260841701"/>
        </bottom>
      </border>
    </dxf>
    <dxf>
      <fill>
        <patternFill>
          <bgColor theme="0"/>
        </patternFill>
      </fill>
      <border>
        <bottom style="dotted">
          <color theme="7"/>
        </bottom>
      </border>
    </dxf>
    <dxf>
      <fill>
        <patternFill>
          <bgColor theme="7" tint="0.79998168889431442"/>
        </patternFill>
      </fill>
      <border>
        <bottom style="dotted">
          <color theme="7"/>
        </bottom>
        <vertical/>
        <horizontal/>
      </border>
    </dxf>
    <dxf>
      <fill>
        <patternFill>
          <bgColor theme="0"/>
        </patternFill>
      </fill>
      <border>
        <bottom style="medium">
          <color theme="7"/>
        </bottom>
      </border>
    </dxf>
  </dxfs>
  <tableStyles count="2" defaultTableStyle="TableStyleMedium2" defaultPivotStyle="PivotStyleLight16">
    <tableStyle name="Table Style 1" pivot="0" count="3">
      <tableStyleElement type="headerRow" dxfId="70"/>
      <tableStyleElement type="firstRowStripe" dxfId="69"/>
      <tableStyleElement type="secondRowStripe" dxfId="68"/>
    </tableStyle>
    <tableStyle name="Table Style 2" pivot="0" count="3">
      <tableStyleElement type="headerRow" dxfId="67"/>
      <tableStyleElement type="firstRowStripe" dxfId="66"/>
      <tableStyleElement type="secondRowStripe" dxfId="65"/>
    </tableStyle>
  </tableStyles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owerPivotData" Target="model/item.data"/><Relationship Id="rId18" Type="http://schemas.openxmlformats.org/officeDocument/2006/relationships/customXml" Target="../customXml/item4.xml"/><Relationship Id="rId26" Type="http://schemas.openxmlformats.org/officeDocument/2006/relationships/customXml" Target="../customXml/item1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7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3.xml"/><Relationship Id="rId25" Type="http://schemas.openxmlformats.org/officeDocument/2006/relationships/customXml" Target="../customXml/item11.xml"/><Relationship Id="rId33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20" Type="http://schemas.openxmlformats.org/officeDocument/2006/relationships/customXml" Target="../customXml/item6.xml"/><Relationship Id="rId29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24" Type="http://schemas.openxmlformats.org/officeDocument/2006/relationships/customXml" Target="../customXml/item10.xml"/><Relationship Id="rId32" Type="http://schemas.openxmlformats.org/officeDocument/2006/relationships/customXml" Target="../customXml/item18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23" Type="http://schemas.openxmlformats.org/officeDocument/2006/relationships/customXml" Target="../customXml/item9.xml"/><Relationship Id="rId28" Type="http://schemas.openxmlformats.org/officeDocument/2006/relationships/customXml" Target="../customXml/item14.xml"/><Relationship Id="rId10" Type="http://schemas.openxmlformats.org/officeDocument/2006/relationships/connections" Target="connections.xml"/><Relationship Id="rId19" Type="http://schemas.openxmlformats.org/officeDocument/2006/relationships/customXml" Target="../customXml/item5.xml"/><Relationship Id="rId31" Type="http://schemas.openxmlformats.org/officeDocument/2006/relationships/customXml" Target="../customXml/item17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Relationship Id="rId22" Type="http://schemas.openxmlformats.org/officeDocument/2006/relationships/customXml" Target="../customXml/item8.xml"/><Relationship Id="rId27" Type="http://schemas.openxmlformats.org/officeDocument/2006/relationships/customXml" Target="../customXml/item13.xml"/><Relationship Id="rId30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131758530183728"/>
          <c:y val="7.407407407407407E-2"/>
          <c:w val="0.79646019247594046"/>
          <c:h val="0.571876640419947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'Distribuição Orçamentária'!$D$5</c:f>
              <c:strCache>
                <c:ptCount val="1"/>
                <c:pt idx="0">
                  <c:v>categoria econômica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'Distribuição Orçamentária'!$B$6:$C$13</c15:sqref>
                  </c15:fullRef>
                  <c15:levelRef>
                    <c15:sqref>'Distribuição Orçamentária'!$B$6:$B$13</c15:sqref>
                  </c15:levelRef>
                </c:ext>
              </c:extLst>
              <c:f>'Distribuição Orçamentária'!$B$6:$B$13</c:f>
              <c:strCache>
                <c:ptCount val="8"/>
                <c:pt idx="0">
                  <c:v>Diárias</c:v>
                </c:pt>
                <c:pt idx="1">
                  <c:v>Material de Consumo</c:v>
                </c:pt>
                <c:pt idx="2">
                  <c:v>Material Permanente</c:v>
                </c:pt>
                <c:pt idx="3">
                  <c:v>Passagens</c:v>
                </c:pt>
                <c:pt idx="4">
                  <c:v>Serviços Pessoa Física</c:v>
                </c:pt>
                <c:pt idx="5">
                  <c:v>Serviços Pessoa Jurídica</c:v>
                </c:pt>
                <c:pt idx="6">
                  <c:v>Contribuições</c:v>
                </c:pt>
                <c:pt idx="7">
                  <c:v>Bolsas</c:v>
                </c:pt>
              </c:strCache>
            </c:strRef>
          </c:cat>
          <c:val>
            <c:numRef>
              <c:f>'Distribuição Orçamentária'!$D$6:$D$13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F9-4E13-9214-8ED814418750}"/>
            </c:ext>
          </c:extLst>
        </c:ser>
        <c:ser>
          <c:idx val="1"/>
          <c:order val="1"/>
          <c:tx>
            <c:strRef>
              <c:f>'Distribuição Orçamentária'!$E$5</c:f>
              <c:strCache>
                <c:ptCount val="1"/>
                <c:pt idx="0">
                  <c:v>crédito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'Distribuição Orçamentária'!$B$6:$C$13</c15:sqref>
                  </c15:fullRef>
                  <c15:levelRef>
                    <c15:sqref>'Distribuição Orçamentária'!$B$6:$B$13</c15:sqref>
                  </c15:levelRef>
                </c:ext>
              </c:extLst>
              <c:f>'Distribuição Orçamentária'!$B$6:$B$13</c:f>
              <c:strCache>
                <c:ptCount val="8"/>
                <c:pt idx="0">
                  <c:v>Diárias</c:v>
                </c:pt>
                <c:pt idx="1">
                  <c:v>Material de Consumo</c:v>
                </c:pt>
                <c:pt idx="2">
                  <c:v>Material Permanente</c:v>
                </c:pt>
                <c:pt idx="3">
                  <c:v>Passagens</c:v>
                </c:pt>
                <c:pt idx="4">
                  <c:v>Serviços Pessoa Física</c:v>
                </c:pt>
                <c:pt idx="5">
                  <c:v>Serviços Pessoa Jurídica</c:v>
                </c:pt>
                <c:pt idx="6">
                  <c:v>Contribuições</c:v>
                </c:pt>
                <c:pt idx="7">
                  <c:v>Bolsas</c:v>
                </c:pt>
              </c:strCache>
            </c:strRef>
          </c:cat>
          <c:val>
            <c:numRef>
              <c:f>'Distribuição Orçamentária'!$E$6:$E$13</c:f>
              <c:numCache>
                <c:formatCode>_("R$"* #,##0.00_);_("R$"* \(#,##0.00\);_("R$"* "-"??_);_(@_)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0-CF61-458C-9FD8-DC46DA0B98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99596032"/>
        <c:axId val="1499613504"/>
      </c:barChart>
      <c:catAx>
        <c:axId val="1499596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499613504"/>
        <c:crosses val="autoZero"/>
        <c:auto val="1"/>
        <c:lblAlgn val="ctr"/>
        <c:lblOffset val="100"/>
        <c:noMultiLvlLbl val="0"/>
      </c:catAx>
      <c:valAx>
        <c:axId val="149961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499596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072701289678189E-2"/>
          <c:y val="0.43231020650720547"/>
          <c:w val="0.76738381838602077"/>
          <c:h val="0.24029643353404354"/>
        </c:manualLayout>
      </c:layout>
      <c:barChart>
        <c:barDir val="bar"/>
        <c:grouping val="clustered"/>
        <c:varyColors val="1"/>
        <c:ser>
          <c:idx val="1"/>
          <c:order val="0"/>
          <c:tx>
            <c:strRef>
              <c:f>Sumário!$F$4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7-6395-4149-AF40-FF37AB90FDF9}"/>
              </c:ext>
            </c:extLst>
          </c:dPt>
          <c:val>
            <c:numRef>
              <c:f>Sumário!$G$5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6-6395-4149-AF40-FF37AB90FD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564033872"/>
        <c:axId val="564033480"/>
      </c:barChart>
      <c:barChart>
        <c:barDir val="bar"/>
        <c:grouping val="clustered"/>
        <c:varyColors val="1"/>
        <c:ser>
          <c:idx val="0"/>
          <c:order val="1"/>
          <c:tx>
            <c:strRef>
              <c:f>Sumário!$F$4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Sumário!$B$5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395-4149-AF40-FF37AB90FD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143424416"/>
        <c:axId val="1470050080"/>
      </c:barChart>
      <c:valAx>
        <c:axId val="564033480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one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1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64033872"/>
        <c:crosses val="autoZero"/>
        <c:crossBetween val="between"/>
        <c:majorUnit val="0.25"/>
      </c:valAx>
      <c:catAx>
        <c:axId val="564033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64033480"/>
        <c:crosses val="autoZero"/>
        <c:auto val="1"/>
        <c:lblAlgn val="ctr"/>
        <c:lblOffset val="100"/>
        <c:noMultiLvlLbl val="0"/>
      </c:catAx>
      <c:valAx>
        <c:axId val="1470050080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43424416"/>
        <c:crosses val="max"/>
        <c:crossBetween val="between"/>
      </c:valAx>
      <c:catAx>
        <c:axId val="143424416"/>
        <c:scaling>
          <c:orientation val="minMax"/>
        </c:scaling>
        <c:delete val="1"/>
        <c:axPos val="l"/>
        <c:majorTickMark val="out"/>
        <c:minorTickMark val="none"/>
        <c:tickLblPos val="nextTo"/>
        <c:crossAx val="1470050080"/>
        <c:crosses val="autoZero"/>
        <c:auto val="1"/>
        <c:lblAlgn val="ctr"/>
        <c:lblOffset val="100"/>
        <c:noMultiLvlLbl val="0"/>
      </c:catAx>
      <c:spPr>
        <a:noFill/>
        <a:ln w="25400" cap="flat">
          <a:solidFill>
            <a:schemeClr val="tx1"/>
          </a:solidFill>
          <a:round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800">
                <a:solidFill>
                  <a:sysClr val="windowText" lastClr="000000"/>
                </a:solidFill>
              </a:rPr>
              <a:t>progresso de execução</a:t>
            </a:r>
          </a:p>
        </c:rich>
      </c:tx>
      <c:layout>
        <c:manualLayout>
          <c:xMode val="edge"/>
          <c:yMode val="edge"/>
          <c:x val="0.30053293524183083"/>
          <c:y val="0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1571153977500025"/>
          <c:y val="0.26682944338590708"/>
          <c:w val="0.76738381838602077"/>
          <c:h val="0.33833532588531146"/>
        </c:manualLayout>
      </c:layout>
      <c:barChart>
        <c:barDir val="bar"/>
        <c:grouping val="clustered"/>
        <c:varyColors val="1"/>
        <c:ser>
          <c:idx val="1"/>
          <c:order val="0"/>
          <c:tx>
            <c:strRef>
              <c:f>Sumário!$B$13</c:f>
              <c:strCache>
                <c:ptCount val="1"/>
                <c:pt idx="0">
                  <c:v>diárias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98B-4DA5-84C1-EE83355C1979}"/>
              </c:ext>
            </c:extLst>
          </c:dPt>
          <c:val>
            <c:numRef>
              <c:f>Sumário!$F$14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98B-4DA5-84C1-EE83355C19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564033872"/>
        <c:axId val="564033480"/>
      </c:barChart>
      <c:valAx>
        <c:axId val="564033480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1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64033872"/>
        <c:crosses val="autoZero"/>
        <c:crossBetween val="between"/>
        <c:majorUnit val="0.25"/>
      </c:valAx>
      <c:catAx>
        <c:axId val="564033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64033480"/>
        <c:crosses val="autoZero"/>
        <c:auto val="1"/>
        <c:lblAlgn val="ctr"/>
        <c:lblOffset val="100"/>
        <c:noMultiLvlLbl val="0"/>
      </c:catAx>
      <c:spPr>
        <a:noFill/>
        <a:ln w="25400" cap="flat">
          <a:solidFill>
            <a:schemeClr val="tx1"/>
          </a:solidFill>
          <a:round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800" baseline="0">
                <a:solidFill>
                  <a:sysClr val="windowText" lastClr="000000"/>
                </a:solidFill>
                <a:latin typeface="+mn-lt"/>
              </a:rPr>
              <a:t>crédito para planejamento</a:t>
            </a:r>
            <a:endParaRPr lang="pt-BR" sz="800">
              <a:solidFill>
                <a:sysClr val="windowText" lastClr="000000"/>
              </a:solidFill>
              <a:latin typeface="+mn-lt"/>
            </a:endParaRPr>
          </a:p>
        </c:rich>
      </c:tx>
      <c:layout>
        <c:manualLayout>
          <c:xMode val="edge"/>
          <c:yMode val="edge"/>
          <c:x val="0.26791831318482962"/>
          <c:y val="1.801799245514300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1571153977500025"/>
          <c:y val="0.26682944338590708"/>
          <c:w val="0.76738381838602077"/>
          <c:h val="0.33833532588531146"/>
        </c:manualLayout>
      </c:layout>
      <c:barChart>
        <c:barDir val="bar"/>
        <c:grouping val="clustered"/>
        <c:varyColors val="1"/>
        <c:ser>
          <c:idx val="1"/>
          <c:order val="0"/>
          <c:tx>
            <c:strRef>
              <c:f>Sumário!$B$13</c:f>
              <c:strCache>
                <c:ptCount val="1"/>
                <c:pt idx="0">
                  <c:v>diárias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03F-48E3-BC7F-49F5B295C2BA}"/>
              </c:ext>
            </c:extLst>
          </c:dPt>
          <c:val>
            <c:numRef>
              <c:f>Sumário!$F$18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3F-48E3-BC7F-49F5B295C2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564033872"/>
        <c:axId val="564033480"/>
      </c:barChart>
      <c:valAx>
        <c:axId val="564033480"/>
        <c:scaling>
          <c:orientation val="minMax"/>
          <c:max val="1"/>
          <c:min val="0"/>
        </c:scaling>
        <c:delete val="0"/>
        <c:axPos val="b"/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1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64033872"/>
        <c:crosses val="autoZero"/>
        <c:crossBetween val="between"/>
        <c:majorUnit val="0.25"/>
      </c:valAx>
      <c:catAx>
        <c:axId val="564033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64033480"/>
        <c:crosses val="autoZero"/>
        <c:auto val="1"/>
        <c:lblAlgn val="ctr"/>
        <c:lblOffset val="100"/>
        <c:noMultiLvlLbl val="0"/>
      </c:catAx>
      <c:spPr>
        <a:noFill/>
        <a:ln w="25400" cap="flat">
          <a:solidFill>
            <a:schemeClr val="tx1"/>
          </a:solidFill>
          <a:round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072701289678189E-2"/>
          <c:y val="0.43231020650720547"/>
          <c:w val="0.76738381838602077"/>
          <c:h val="0.24029643353404354"/>
        </c:manualLayout>
      </c:layout>
      <c:barChart>
        <c:barDir val="bar"/>
        <c:grouping val="clustered"/>
        <c:varyColors val="1"/>
        <c:ser>
          <c:idx val="0"/>
          <c:order val="0"/>
          <c:tx>
            <c:strRef>
              <c:f>Sumário!$F$4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Sumário!$L$5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B0-4926-B793-DE30B00ACD19}"/>
            </c:ext>
          </c:extLst>
        </c:ser>
        <c:ser>
          <c:idx val="1"/>
          <c:order val="1"/>
          <c:tx>
            <c:strRef>
              <c:f>Sumário!$F$4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53B0-4926-B793-DE30B00ACD19}"/>
              </c:ext>
            </c:extLst>
          </c:dPt>
          <c:val>
            <c:numRef>
              <c:f>Sumário!$G$5</c:f>
              <c:numCache>
                <c:formatCode>0%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53B0-4926-B793-DE30B00ACD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overlap val="100"/>
        <c:axId val="564033872"/>
        <c:axId val="564033480"/>
      </c:barChart>
      <c:valAx>
        <c:axId val="564033480"/>
        <c:scaling>
          <c:orientation val="minMax"/>
          <c:max val="1"/>
          <c:min val="0"/>
        </c:scaling>
        <c:delete val="0"/>
        <c:axPos val="b"/>
        <c:numFmt formatCode="General" sourceLinked="1"/>
        <c:majorTickMark val="out"/>
        <c:minorTickMark val="none"/>
        <c:tickLblPos val="none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1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64033872"/>
        <c:crosses val="autoZero"/>
        <c:crossBetween val="between"/>
        <c:majorUnit val="0.25"/>
      </c:valAx>
      <c:catAx>
        <c:axId val="564033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64033480"/>
        <c:crosses val="autoZero"/>
        <c:auto val="1"/>
        <c:lblAlgn val="ctr"/>
        <c:lblOffset val="100"/>
        <c:noMultiLvlLbl val="0"/>
      </c:catAx>
      <c:spPr>
        <a:noFill/>
        <a:ln w="25400" cap="flat">
          <a:solidFill>
            <a:schemeClr val="tx1"/>
          </a:solidFill>
          <a:round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800">
                <a:solidFill>
                  <a:sysClr val="windowText" lastClr="000000"/>
                </a:solidFill>
              </a:rPr>
              <a:t>progresso de execução</a:t>
            </a:r>
          </a:p>
        </c:rich>
      </c:tx>
      <c:layout>
        <c:manualLayout>
          <c:xMode val="edge"/>
          <c:yMode val="edge"/>
          <c:x val="0.30053293524183083"/>
          <c:y val="0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1571153977500025"/>
          <c:y val="0.26682944338590708"/>
          <c:w val="0.76738381838602077"/>
          <c:h val="0.33833532588531146"/>
        </c:manualLayout>
      </c:layout>
      <c:barChart>
        <c:barDir val="bar"/>
        <c:grouping val="clustered"/>
        <c:varyColors val="1"/>
        <c:ser>
          <c:idx val="1"/>
          <c:order val="0"/>
          <c:tx>
            <c:strRef>
              <c:f>Sumário!$B$21</c:f>
              <c:strCache>
                <c:ptCount val="1"/>
                <c:pt idx="0">
                  <c:v>material de consumo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322-4923-9868-B14F9EA71D6F}"/>
              </c:ext>
            </c:extLst>
          </c:dPt>
          <c:val>
            <c:numRef>
              <c:f>Sumário!$F$22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22-4923-9868-B14F9EA71D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564033872"/>
        <c:axId val="564033480"/>
      </c:barChart>
      <c:valAx>
        <c:axId val="564033480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1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64033872"/>
        <c:crosses val="autoZero"/>
        <c:crossBetween val="between"/>
        <c:majorUnit val="0.25"/>
      </c:valAx>
      <c:catAx>
        <c:axId val="564033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64033480"/>
        <c:crosses val="autoZero"/>
        <c:auto val="1"/>
        <c:lblAlgn val="ctr"/>
        <c:lblOffset val="100"/>
        <c:noMultiLvlLbl val="0"/>
      </c:catAx>
      <c:spPr>
        <a:noFill/>
        <a:ln w="25400" cap="flat">
          <a:solidFill>
            <a:schemeClr val="tx1"/>
          </a:solidFill>
          <a:round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800" baseline="0">
                <a:solidFill>
                  <a:sysClr val="windowText" lastClr="000000"/>
                </a:solidFill>
                <a:latin typeface="+mn-lt"/>
              </a:rPr>
              <a:t>crédito para planejamento</a:t>
            </a:r>
            <a:endParaRPr lang="pt-BR" sz="800">
              <a:solidFill>
                <a:sysClr val="windowText" lastClr="000000"/>
              </a:solidFill>
              <a:latin typeface="+mn-lt"/>
            </a:endParaRPr>
          </a:p>
        </c:rich>
      </c:tx>
      <c:layout>
        <c:manualLayout>
          <c:xMode val="edge"/>
          <c:yMode val="edge"/>
          <c:x val="0.25304842470899314"/>
          <c:y val="3.60359849102860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1571153977500025"/>
          <c:y val="0.26682944338590708"/>
          <c:w val="0.76738381838602077"/>
          <c:h val="0.33833532588531146"/>
        </c:manualLayout>
      </c:layout>
      <c:barChart>
        <c:barDir val="bar"/>
        <c:grouping val="clustered"/>
        <c:varyColors val="1"/>
        <c:ser>
          <c:idx val="1"/>
          <c:order val="0"/>
          <c:tx>
            <c:strRef>
              <c:f>Sumário!$B$21</c:f>
              <c:strCache>
                <c:ptCount val="1"/>
                <c:pt idx="0">
                  <c:v>material de consumo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CEC-4028-BA08-66F6DE204ADF}"/>
              </c:ext>
            </c:extLst>
          </c:dPt>
          <c:val>
            <c:numRef>
              <c:f>Sumário!$F$27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CEC-4028-BA08-66F6DE204A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564033872"/>
        <c:axId val="564033480"/>
      </c:barChart>
      <c:valAx>
        <c:axId val="564033480"/>
        <c:scaling>
          <c:orientation val="minMax"/>
          <c:max val="1"/>
          <c:min val="0"/>
        </c:scaling>
        <c:delete val="0"/>
        <c:axPos val="b"/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1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64033872"/>
        <c:crosses val="autoZero"/>
        <c:crossBetween val="between"/>
        <c:majorUnit val="0.25"/>
      </c:valAx>
      <c:catAx>
        <c:axId val="564033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64033480"/>
        <c:crosses val="autoZero"/>
        <c:auto val="1"/>
        <c:lblAlgn val="ctr"/>
        <c:lblOffset val="100"/>
        <c:noMultiLvlLbl val="0"/>
      </c:catAx>
      <c:spPr>
        <a:noFill/>
        <a:ln w="25400" cap="flat">
          <a:solidFill>
            <a:schemeClr val="tx1"/>
          </a:solidFill>
          <a:round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800">
                <a:solidFill>
                  <a:sysClr val="windowText" lastClr="000000"/>
                </a:solidFill>
              </a:rPr>
              <a:t>progresso de execução</a:t>
            </a:r>
          </a:p>
        </c:rich>
      </c:tx>
      <c:layout>
        <c:manualLayout>
          <c:xMode val="edge"/>
          <c:yMode val="edge"/>
          <c:x val="0.30053293524183083"/>
          <c:y val="0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1571153977500025"/>
          <c:y val="0.26682944338590708"/>
          <c:w val="0.76738381838602077"/>
          <c:h val="0.33833532588531146"/>
        </c:manualLayout>
      </c:layout>
      <c:barChart>
        <c:barDir val="bar"/>
        <c:grouping val="clustered"/>
        <c:varyColors val="1"/>
        <c:ser>
          <c:idx val="1"/>
          <c:order val="0"/>
          <c:tx>
            <c:strRef>
              <c:f>Sumário!$B$29</c:f>
              <c:strCache>
                <c:ptCount val="1"/>
                <c:pt idx="0">
                  <c:v>passagens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44A-4849-9248-BA67D09EE93B}"/>
              </c:ext>
            </c:extLst>
          </c:dPt>
          <c:val>
            <c:numRef>
              <c:f>Sumário!$F$30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44A-4849-9248-BA67D09EE9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564033872"/>
        <c:axId val="564033480"/>
      </c:barChart>
      <c:valAx>
        <c:axId val="564033480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1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64033872"/>
        <c:crosses val="autoZero"/>
        <c:crossBetween val="between"/>
        <c:majorUnit val="0.25"/>
      </c:valAx>
      <c:catAx>
        <c:axId val="564033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64033480"/>
        <c:crosses val="autoZero"/>
        <c:auto val="1"/>
        <c:lblAlgn val="ctr"/>
        <c:lblOffset val="100"/>
        <c:noMultiLvlLbl val="0"/>
      </c:catAx>
      <c:spPr>
        <a:noFill/>
        <a:ln w="25400" cap="flat">
          <a:solidFill>
            <a:schemeClr val="tx1"/>
          </a:solidFill>
          <a:round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800" baseline="0">
                <a:solidFill>
                  <a:sysClr val="windowText" lastClr="000000"/>
                </a:solidFill>
                <a:latin typeface="+mn-lt"/>
              </a:rPr>
              <a:t>crédito para planejamento</a:t>
            </a:r>
            <a:endParaRPr lang="pt-BR" sz="800">
              <a:solidFill>
                <a:sysClr val="windowText" lastClr="000000"/>
              </a:solidFill>
              <a:latin typeface="+mn-lt"/>
            </a:endParaRPr>
          </a:p>
        </c:rich>
      </c:tx>
      <c:layout>
        <c:manualLayout>
          <c:xMode val="edge"/>
          <c:yMode val="edge"/>
          <c:x val="0.28278820166066604"/>
          <c:y val="3.60359849102860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1571153977500025"/>
          <c:y val="0.26682944338590708"/>
          <c:w val="0.76738381838602077"/>
          <c:h val="0.33833532588531146"/>
        </c:manualLayout>
      </c:layout>
      <c:barChart>
        <c:barDir val="bar"/>
        <c:grouping val="clustered"/>
        <c:varyColors val="1"/>
        <c:ser>
          <c:idx val="1"/>
          <c:order val="0"/>
          <c:tx>
            <c:strRef>
              <c:f>Sumário!$B$29</c:f>
              <c:strCache>
                <c:ptCount val="1"/>
                <c:pt idx="0">
                  <c:v>passagens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AA4-4FFB-A777-A603794056FA}"/>
              </c:ext>
            </c:extLst>
          </c:dPt>
          <c:val>
            <c:numRef>
              <c:f>Sumário!$F$35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A4-4FFB-A777-A603794056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564033872"/>
        <c:axId val="564033480"/>
      </c:barChart>
      <c:valAx>
        <c:axId val="564033480"/>
        <c:scaling>
          <c:orientation val="minMax"/>
          <c:max val="1"/>
          <c:min val="0"/>
        </c:scaling>
        <c:delete val="0"/>
        <c:axPos val="b"/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1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64033872"/>
        <c:crosses val="autoZero"/>
        <c:crossBetween val="between"/>
        <c:majorUnit val="0.25"/>
      </c:valAx>
      <c:catAx>
        <c:axId val="564033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64033480"/>
        <c:crosses val="autoZero"/>
        <c:auto val="1"/>
        <c:lblAlgn val="ctr"/>
        <c:lblOffset val="100"/>
        <c:noMultiLvlLbl val="0"/>
      </c:catAx>
      <c:spPr>
        <a:noFill/>
        <a:ln w="25400" cap="flat">
          <a:solidFill>
            <a:schemeClr val="tx1"/>
          </a:solidFill>
          <a:round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800">
                <a:solidFill>
                  <a:sysClr val="windowText" lastClr="000000"/>
                </a:solidFill>
              </a:rPr>
              <a:t>progresso de execução</a:t>
            </a:r>
          </a:p>
        </c:rich>
      </c:tx>
      <c:layout>
        <c:manualLayout>
          <c:xMode val="edge"/>
          <c:yMode val="edge"/>
          <c:x val="0.30053293524183083"/>
          <c:y val="0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1571153977500025"/>
          <c:y val="0.26682944338590708"/>
          <c:w val="0.76738381838602077"/>
          <c:h val="0.33833532588531146"/>
        </c:manualLayout>
      </c:layout>
      <c:barChart>
        <c:barDir val="bar"/>
        <c:grouping val="clustered"/>
        <c:varyColors val="1"/>
        <c:ser>
          <c:idx val="1"/>
          <c:order val="0"/>
          <c:tx>
            <c:strRef>
              <c:f>Sumário!$B$37</c:f>
              <c:strCache>
                <c:ptCount val="1"/>
                <c:pt idx="0">
                  <c:v>serviços pessoa física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793-4196-8609-20B50CB64A77}"/>
              </c:ext>
            </c:extLst>
          </c:dPt>
          <c:val>
            <c:numRef>
              <c:f>Sumário!$F$38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93-4196-8609-20B50CB64A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564033872"/>
        <c:axId val="564033480"/>
      </c:barChart>
      <c:valAx>
        <c:axId val="564033480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1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64033872"/>
        <c:crosses val="autoZero"/>
        <c:crossBetween val="between"/>
        <c:majorUnit val="0.25"/>
      </c:valAx>
      <c:catAx>
        <c:axId val="564033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64033480"/>
        <c:crosses val="autoZero"/>
        <c:auto val="1"/>
        <c:lblAlgn val="ctr"/>
        <c:lblOffset val="100"/>
        <c:noMultiLvlLbl val="0"/>
      </c:catAx>
      <c:spPr>
        <a:noFill/>
        <a:ln w="25400" cap="flat">
          <a:solidFill>
            <a:schemeClr val="tx1"/>
          </a:solidFill>
          <a:round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800" baseline="0">
                <a:solidFill>
                  <a:sysClr val="windowText" lastClr="000000"/>
                </a:solidFill>
                <a:latin typeface="+mn-lt"/>
              </a:rPr>
              <a:t>crédito para planejamento</a:t>
            </a:r>
            <a:endParaRPr lang="pt-BR" sz="800">
              <a:solidFill>
                <a:sysClr val="windowText" lastClr="000000"/>
              </a:solidFill>
              <a:latin typeface="+mn-lt"/>
            </a:endParaRPr>
          </a:p>
        </c:rich>
      </c:tx>
      <c:layout>
        <c:manualLayout>
          <c:xMode val="edge"/>
          <c:yMode val="edge"/>
          <c:x val="0.27287494267677509"/>
          <c:y val="3.60359849102860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1571153977500025"/>
          <c:y val="0.26682944338590708"/>
          <c:w val="0.76738381838602077"/>
          <c:h val="0.33833532588531146"/>
        </c:manualLayout>
      </c:layout>
      <c:barChart>
        <c:barDir val="bar"/>
        <c:grouping val="clustered"/>
        <c:varyColors val="1"/>
        <c:ser>
          <c:idx val="1"/>
          <c:order val="0"/>
          <c:tx>
            <c:strRef>
              <c:f>Sumário!$B$37</c:f>
              <c:strCache>
                <c:ptCount val="1"/>
                <c:pt idx="0">
                  <c:v>serviços pessoa física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B28-41FB-8271-C7FBBCE40DDC}"/>
              </c:ext>
            </c:extLst>
          </c:dPt>
          <c:val>
            <c:numRef>
              <c:f>Sumário!$F$43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28-41FB-8271-C7FBBCE40D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564033872"/>
        <c:axId val="564033480"/>
      </c:barChart>
      <c:valAx>
        <c:axId val="564033480"/>
        <c:scaling>
          <c:orientation val="minMax"/>
          <c:max val="1"/>
          <c:min val="0"/>
        </c:scaling>
        <c:delete val="0"/>
        <c:axPos val="b"/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1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64033872"/>
        <c:crosses val="autoZero"/>
        <c:crossBetween val="between"/>
        <c:majorUnit val="0.25"/>
      </c:valAx>
      <c:catAx>
        <c:axId val="564033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64033480"/>
        <c:crosses val="autoZero"/>
        <c:auto val="1"/>
        <c:lblAlgn val="ctr"/>
        <c:lblOffset val="100"/>
        <c:noMultiLvlLbl val="0"/>
      </c:catAx>
      <c:spPr>
        <a:noFill/>
        <a:ln w="25400" cap="flat">
          <a:solidFill>
            <a:schemeClr val="tx1"/>
          </a:solidFill>
          <a:round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800">
                <a:solidFill>
                  <a:sysClr val="windowText" lastClr="000000"/>
                </a:solidFill>
              </a:rPr>
              <a:t>progresso de execução</a:t>
            </a:r>
          </a:p>
        </c:rich>
      </c:tx>
      <c:layout>
        <c:manualLayout>
          <c:xMode val="edge"/>
          <c:yMode val="edge"/>
          <c:x val="0.30053293524183083"/>
          <c:y val="0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1571153977500025"/>
          <c:y val="0.26682944338590708"/>
          <c:w val="0.76738381838602077"/>
          <c:h val="0.33833532588531146"/>
        </c:manualLayout>
      </c:layout>
      <c:barChart>
        <c:barDir val="bar"/>
        <c:grouping val="clustered"/>
        <c:varyColors val="1"/>
        <c:ser>
          <c:idx val="1"/>
          <c:order val="0"/>
          <c:tx>
            <c:strRef>
              <c:f>Sumário!$B$45</c:f>
              <c:strCache>
                <c:ptCount val="1"/>
                <c:pt idx="0">
                  <c:v>serviços pessoa jurídica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B39-4B48-984A-51885E27C6A8}"/>
              </c:ext>
            </c:extLst>
          </c:dPt>
          <c:val>
            <c:numRef>
              <c:f>Sumário!$F$46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B39-4B48-984A-51885E27C6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564033872"/>
        <c:axId val="564033480"/>
      </c:barChart>
      <c:valAx>
        <c:axId val="564033480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1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64033872"/>
        <c:crosses val="autoZero"/>
        <c:crossBetween val="between"/>
        <c:majorUnit val="0.25"/>
      </c:valAx>
      <c:catAx>
        <c:axId val="564033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64033480"/>
        <c:crosses val="autoZero"/>
        <c:auto val="1"/>
        <c:lblAlgn val="ctr"/>
        <c:lblOffset val="100"/>
        <c:noMultiLvlLbl val="0"/>
      </c:catAx>
      <c:spPr>
        <a:noFill/>
        <a:ln w="25400" cap="flat">
          <a:solidFill>
            <a:schemeClr val="tx1"/>
          </a:solidFill>
          <a:round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800" baseline="0">
                <a:solidFill>
                  <a:sysClr val="windowText" lastClr="000000"/>
                </a:solidFill>
                <a:latin typeface="+mn-lt"/>
              </a:rPr>
              <a:t>crédito para planejamento</a:t>
            </a:r>
            <a:endParaRPr lang="pt-BR" sz="800">
              <a:solidFill>
                <a:sysClr val="windowText" lastClr="000000"/>
              </a:solidFill>
              <a:latin typeface="+mn-lt"/>
            </a:endParaRPr>
          </a:p>
        </c:rich>
      </c:tx>
      <c:layout>
        <c:manualLayout>
          <c:xMode val="edge"/>
          <c:yMode val="edge"/>
          <c:x val="0.28278820166066604"/>
          <c:y val="3.60359849102860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1571153977500025"/>
          <c:y val="0.26682944338590708"/>
          <c:w val="0.76738381838602077"/>
          <c:h val="0.33833532588531146"/>
        </c:manualLayout>
      </c:layout>
      <c:barChart>
        <c:barDir val="bar"/>
        <c:grouping val="clustered"/>
        <c:varyColors val="1"/>
        <c:ser>
          <c:idx val="1"/>
          <c:order val="0"/>
          <c:tx>
            <c:strRef>
              <c:f>Sumário!$B$45</c:f>
              <c:strCache>
                <c:ptCount val="1"/>
                <c:pt idx="0">
                  <c:v>serviços pessoa jurídica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492-4D1E-91C9-8A564ABFB9DD}"/>
              </c:ext>
            </c:extLst>
          </c:dPt>
          <c:val>
            <c:numRef>
              <c:f>Sumário!$F$51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92-4D1E-91C9-8A564ABFB9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564033872"/>
        <c:axId val="564033480"/>
      </c:barChart>
      <c:valAx>
        <c:axId val="564033480"/>
        <c:scaling>
          <c:orientation val="minMax"/>
          <c:max val="1"/>
          <c:min val="0"/>
        </c:scaling>
        <c:delete val="0"/>
        <c:axPos val="b"/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1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64033872"/>
        <c:crosses val="autoZero"/>
        <c:crossBetween val="between"/>
        <c:majorUnit val="0.25"/>
      </c:valAx>
      <c:catAx>
        <c:axId val="564033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64033480"/>
        <c:crosses val="autoZero"/>
        <c:auto val="1"/>
        <c:lblAlgn val="ctr"/>
        <c:lblOffset val="100"/>
        <c:noMultiLvlLbl val="0"/>
      </c:catAx>
      <c:spPr>
        <a:noFill/>
        <a:ln w="25400" cap="flat">
          <a:solidFill>
            <a:schemeClr val="tx1"/>
          </a:solidFill>
          <a:round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800">
                <a:solidFill>
                  <a:sysClr val="windowText" lastClr="000000"/>
                </a:solidFill>
              </a:rPr>
              <a:t>progresso de execução</a:t>
            </a:r>
          </a:p>
        </c:rich>
      </c:tx>
      <c:layout>
        <c:manualLayout>
          <c:xMode val="edge"/>
          <c:yMode val="edge"/>
          <c:x val="0.30053293524183083"/>
          <c:y val="0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1571153977500025"/>
          <c:y val="0.26682944338590708"/>
          <c:w val="0.76738381838602077"/>
          <c:h val="0.33833532588531146"/>
        </c:manualLayout>
      </c:layout>
      <c:barChart>
        <c:barDir val="bar"/>
        <c:grouping val="clustered"/>
        <c:varyColors val="1"/>
        <c:ser>
          <c:idx val="1"/>
          <c:order val="0"/>
          <c:tx>
            <c:strRef>
              <c:f>Sumário!$B$53</c:f>
              <c:strCache>
                <c:ptCount val="1"/>
                <c:pt idx="0">
                  <c:v>contribuições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27E-48F3-AF80-5BE1EFD9C797}"/>
              </c:ext>
            </c:extLst>
          </c:dPt>
          <c:val>
            <c:numRef>
              <c:f>Sumário!$F$54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27E-48F3-AF80-5BE1EFD9C7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564033872"/>
        <c:axId val="564033480"/>
      </c:barChart>
      <c:valAx>
        <c:axId val="564033480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1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64033872"/>
        <c:crosses val="autoZero"/>
        <c:crossBetween val="between"/>
        <c:majorUnit val="0.25"/>
      </c:valAx>
      <c:catAx>
        <c:axId val="564033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64033480"/>
        <c:crosses val="autoZero"/>
        <c:auto val="1"/>
        <c:lblAlgn val="ctr"/>
        <c:lblOffset val="100"/>
        <c:noMultiLvlLbl val="0"/>
      </c:catAx>
      <c:spPr>
        <a:noFill/>
        <a:ln w="25400" cap="flat">
          <a:solidFill>
            <a:schemeClr val="tx1"/>
          </a:solidFill>
          <a:round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800" baseline="0">
                <a:solidFill>
                  <a:sysClr val="windowText" lastClr="000000"/>
                </a:solidFill>
                <a:latin typeface="+mn-lt"/>
              </a:rPr>
              <a:t>crédito para planejamento</a:t>
            </a:r>
            <a:endParaRPr lang="pt-BR" sz="800">
              <a:solidFill>
                <a:sysClr val="windowText" lastClr="000000"/>
              </a:solidFill>
              <a:latin typeface="+mn-lt"/>
            </a:endParaRPr>
          </a:p>
        </c:rich>
      </c:tx>
      <c:layout>
        <c:manualLayout>
          <c:xMode val="edge"/>
          <c:yMode val="edge"/>
          <c:x val="0.29270146064455699"/>
          <c:y val="3.60359849102860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1571153977500025"/>
          <c:y val="0.26682944338590708"/>
          <c:w val="0.76738381838602077"/>
          <c:h val="0.33833532588531146"/>
        </c:manualLayout>
      </c:layout>
      <c:barChart>
        <c:barDir val="bar"/>
        <c:grouping val="clustered"/>
        <c:varyColors val="1"/>
        <c:ser>
          <c:idx val="1"/>
          <c:order val="0"/>
          <c:tx>
            <c:strRef>
              <c:f>Sumário!$B$53</c:f>
              <c:strCache>
                <c:ptCount val="1"/>
                <c:pt idx="0">
                  <c:v>contribuições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676-4359-8596-D467A471E4FE}"/>
              </c:ext>
            </c:extLst>
          </c:dPt>
          <c:val>
            <c:numRef>
              <c:f>Sumário!$F$59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76-4359-8596-D467A471E4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564033872"/>
        <c:axId val="564033480"/>
      </c:barChart>
      <c:valAx>
        <c:axId val="564033480"/>
        <c:scaling>
          <c:orientation val="minMax"/>
          <c:max val="1"/>
          <c:min val="0"/>
        </c:scaling>
        <c:delete val="0"/>
        <c:axPos val="b"/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1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64033872"/>
        <c:crosses val="autoZero"/>
        <c:crossBetween val="between"/>
        <c:majorUnit val="0.25"/>
      </c:valAx>
      <c:catAx>
        <c:axId val="564033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64033480"/>
        <c:crosses val="autoZero"/>
        <c:auto val="1"/>
        <c:lblAlgn val="ctr"/>
        <c:lblOffset val="100"/>
        <c:noMultiLvlLbl val="0"/>
      </c:catAx>
      <c:spPr>
        <a:noFill/>
        <a:ln w="25400" cap="flat">
          <a:solidFill>
            <a:schemeClr val="tx1"/>
          </a:solidFill>
          <a:round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800">
                <a:solidFill>
                  <a:sysClr val="windowText" lastClr="000000"/>
                </a:solidFill>
              </a:rPr>
              <a:t>progresso de execução</a:t>
            </a:r>
          </a:p>
        </c:rich>
      </c:tx>
      <c:layout>
        <c:manualLayout>
          <c:xMode val="edge"/>
          <c:yMode val="edge"/>
          <c:x val="0.30548956473377631"/>
          <c:y val="0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1571153977500025"/>
          <c:y val="0.26682944338590708"/>
          <c:w val="0.76738381838602077"/>
          <c:h val="0.33833532588531146"/>
        </c:manualLayout>
      </c:layout>
      <c:barChart>
        <c:barDir val="bar"/>
        <c:grouping val="clustered"/>
        <c:varyColors val="1"/>
        <c:ser>
          <c:idx val="1"/>
          <c:order val="0"/>
          <c:tx>
            <c:strRef>
              <c:f>Sumário!$L$13</c:f>
              <c:strCache>
                <c:ptCount val="1"/>
                <c:pt idx="0">
                  <c:v>material permanente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04A-4434-A102-ACE27E361529}"/>
              </c:ext>
            </c:extLst>
          </c:dPt>
          <c:val>
            <c:numRef>
              <c:f>Sumário!$M$23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04A-4434-A102-ACE27E3615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564033872"/>
        <c:axId val="564033480"/>
      </c:barChart>
      <c:valAx>
        <c:axId val="564033480"/>
        <c:scaling>
          <c:orientation val="minMax"/>
          <c:max val="1"/>
          <c:min val="0"/>
        </c:scaling>
        <c:delete val="0"/>
        <c:axPos val="b"/>
        <c:numFmt formatCode="0%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1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64033872"/>
        <c:crosses val="autoZero"/>
        <c:crossBetween val="between"/>
        <c:majorUnit val="0.25"/>
      </c:valAx>
      <c:catAx>
        <c:axId val="564033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64033480"/>
        <c:crosses val="autoZero"/>
        <c:auto val="1"/>
        <c:lblAlgn val="ctr"/>
        <c:lblOffset val="100"/>
        <c:noMultiLvlLbl val="0"/>
      </c:catAx>
      <c:spPr>
        <a:noFill/>
        <a:ln w="25400" cap="flat">
          <a:solidFill>
            <a:schemeClr val="tx1"/>
          </a:solidFill>
          <a:round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800" baseline="0">
                <a:solidFill>
                  <a:sysClr val="windowText" lastClr="000000"/>
                </a:solidFill>
                <a:latin typeface="+mn-lt"/>
              </a:rPr>
              <a:t>crédito para planejamento</a:t>
            </a:r>
            <a:endParaRPr lang="pt-BR" sz="800">
              <a:solidFill>
                <a:sysClr val="windowText" lastClr="000000"/>
              </a:solidFill>
              <a:latin typeface="+mn-lt"/>
            </a:endParaRPr>
          </a:p>
        </c:rich>
      </c:tx>
      <c:layout>
        <c:manualLayout>
          <c:xMode val="edge"/>
          <c:yMode val="edge"/>
          <c:x val="0.28278820166066604"/>
          <c:y val="3.60359849102860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0.10084165129916382"/>
          <c:y val="0.24881145093076412"/>
          <c:w val="0.76738381838602077"/>
          <c:h val="0.33833532588531146"/>
        </c:manualLayout>
      </c:layout>
      <c:barChart>
        <c:barDir val="bar"/>
        <c:grouping val="clustered"/>
        <c:varyColors val="1"/>
        <c:ser>
          <c:idx val="1"/>
          <c:order val="0"/>
          <c:tx>
            <c:strRef>
              <c:f>Sumário!$L$13</c:f>
              <c:strCache>
                <c:ptCount val="1"/>
                <c:pt idx="0">
                  <c:v>material permanente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D7F-49A0-98C8-629F7C0E135E}"/>
              </c:ext>
            </c:extLst>
          </c:dPt>
          <c:val>
            <c:numRef>
              <c:f>Sumário!$M$27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D7F-49A0-98C8-629F7C0E13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564033872"/>
        <c:axId val="564033480"/>
      </c:barChart>
      <c:valAx>
        <c:axId val="564033480"/>
        <c:scaling>
          <c:orientation val="minMax"/>
          <c:max val="1"/>
          <c:min val="0"/>
        </c:scaling>
        <c:delete val="0"/>
        <c:axPos val="b"/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1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564033872"/>
        <c:crosses val="autoZero"/>
        <c:crossBetween val="between"/>
        <c:majorUnit val="0.25"/>
      </c:valAx>
      <c:catAx>
        <c:axId val="564033872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564033480"/>
        <c:crosses val="autoZero"/>
        <c:auto val="1"/>
        <c:lblAlgn val="ctr"/>
        <c:lblOffset val="100"/>
        <c:noMultiLvlLbl val="0"/>
      </c:catAx>
      <c:spPr>
        <a:noFill/>
        <a:ln w="25400" cap="flat">
          <a:solidFill>
            <a:schemeClr val="tx1"/>
          </a:solidFill>
          <a:round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image" Target="../media/image1.png"/><Relationship Id="rId16" Type="http://schemas.openxmlformats.org/officeDocument/2006/relationships/chart" Target="../charts/chart16.xml"/><Relationship Id="rId1" Type="http://schemas.openxmlformats.org/officeDocument/2006/relationships/chart" Target="../charts/chart2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3</xdr:row>
      <xdr:rowOff>171450</xdr:rowOff>
    </xdr:from>
    <xdr:to>
      <xdr:col>13</xdr:col>
      <xdr:colOff>152400</xdr:colOff>
      <xdr:row>13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323850</xdr:colOff>
      <xdr:row>0</xdr:row>
      <xdr:rowOff>57150</xdr:rowOff>
    </xdr:from>
    <xdr:to>
      <xdr:col>1</xdr:col>
      <xdr:colOff>1057274</xdr:colOff>
      <xdr:row>1</xdr:row>
      <xdr:rowOff>256698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" y="57150"/>
          <a:ext cx="733424" cy="10567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47625</xdr:rowOff>
    </xdr:from>
    <xdr:to>
      <xdr:col>1</xdr:col>
      <xdr:colOff>781049</xdr:colOff>
      <xdr:row>1</xdr:row>
      <xdr:rowOff>247173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47625"/>
          <a:ext cx="733424" cy="105679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3</xdr:row>
          <xdr:rowOff>276225</xdr:rowOff>
        </xdr:from>
        <xdr:to>
          <xdr:col>11</xdr:col>
          <xdr:colOff>1438275</xdr:colOff>
          <xdr:row>5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</a:rPr>
                <a:t>Adicionar Nova Linha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0</xdr:row>
      <xdr:rowOff>47625</xdr:rowOff>
    </xdr:from>
    <xdr:to>
      <xdr:col>1</xdr:col>
      <xdr:colOff>1171574</xdr:colOff>
      <xdr:row>1</xdr:row>
      <xdr:rowOff>247173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47625"/>
          <a:ext cx="733424" cy="105679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476250</xdr:rowOff>
    </xdr:from>
    <xdr:to>
      <xdr:col>2</xdr:col>
      <xdr:colOff>113329</xdr:colOff>
      <xdr:row>4</xdr:row>
      <xdr:rowOff>400050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495300</xdr:colOff>
      <xdr:row>0</xdr:row>
      <xdr:rowOff>76200</xdr:rowOff>
    </xdr:from>
    <xdr:to>
      <xdr:col>1</xdr:col>
      <xdr:colOff>1228724</xdr:colOff>
      <xdr:row>1</xdr:row>
      <xdr:rowOff>294798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76200"/>
          <a:ext cx="733424" cy="1056798"/>
        </a:xfrm>
        <a:prstGeom prst="rect">
          <a:avLst/>
        </a:prstGeom>
      </xdr:spPr>
    </xdr:pic>
    <xdr:clientData/>
  </xdr:twoCellAnchor>
  <xdr:twoCellAnchor>
    <xdr:from>
      <xdr:col>4</xdr:col>
      <xdr:colOff>9525</xdr:colOff>
      <xdr:row>11</xdr:row>
      <xdr:rowOff>171449</xdr:rowOff>
    </xdr:from>
    <xdr:to>
      <xdr:col>8</xdr:col>
      <xdr:colOff>571500</xdr:colOff>
      <xdr:row>15</xdr:row>
      <xdr:rowOff>133350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276225</xdr:colOff>
      <xdr:row>16</xdr:row>
      <xdr:rowOff>0</xdr:rowOff>
    </xdr:from>
    <xdr:to>
      <xdr:col>8</xdr:col>
      <xdr:colOff>552450</xdr:colOff>
      <xdr:row>19</xdr:row>
      <xdr:rowOff>133351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95250</xdr:colOff>
      <xdr:row>3</xdr:row>
      <xdr:rowOff>466725</xdr:rowOff>
    </xdr:from>
    <xdr:to>
      <xdr:col>12</xdr:col>
      <xdr:colOff>103804</xdr:colOff>
      <xdr:row>4</xdr:row>
      <xdr:rowOff>390525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0</xdr:colOff>
      <xdr:row>20</xdr:row>
      <xdr:rowOff>219075</xdr:rowOff>
    </xdr:from>
    <xdr:to>
      <xdr:col>8</xdr:col>
      <xdr:colOff>561975</xdr:colOff>
      <xdr:row>23</xdr:row>
      <xdr:rowOff>161926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0</xdr:colOff>
      <xdr:row>24</xdr:row>
      <xdr:rowOff>28576</xdr:rowOff>
    </xdr:from>
    <xdr:to>
      <xdr:col>8</xdr:col>
      <xdr:colOff>561975</xdr:colOff>
      <xdr:row>27</xdr:row>
      <xdr:rowOff>161927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0</xdr:colOff>
      <xdr:row>28</xdr:row>
      <xdr:rowOff>190500</xdr:rowOff>
    </xdr:from>
    <xdr:to>
      <xdr:col>8</xdr:col>
      <xdr:colOff>561975</xdr:colOff>
      <xdr:row>31</xdr:row>
      <xdr:rowOff>133351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</xdr:col>
      <xdr:colOff>0</xdr:colOff>
      <xdr:row>32</xdr:row>
      <xdr:rowOff>66676</xdr:rowOff>
    </xdr:from>
    <xdr:to>
      <xdr:col>8</xdr:col>
      <xdr:colOff>561975</xdr:colOff>
      <xdr:row>35</xdr:row>
      <xdr:rowOff>200027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</xdr:col>
      <xdr:colOff>0</xdr:colOff>
      <xdr:row>36</xdr:row>
      <xdr:rowOff>171450</xdr:rowOff>
    </xdr:from>
    <xdr:to>
      <xdr:col>8</xdr:col>
      <xdr:colOff>561975</xdr:colOff>
      <xdr:row>39</xdr:row>
      <xdr:rowOff>114301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9525</xdr:colOff>
      <xdr:row>40</xdr:row>
      <xdr:rowOff>19051</xdr:rowOff>
    </xdr:from>
    <xdr:to>
      <xdr:col>8</xdr:col>
      <xdr:colOff>571500</xdr:colOff>
      <xdr:row>43</xdr:row>
      <xdr:rowOff>152402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</xdr:col>
      <xdr:colOff>276225</xdr:colOff>
      <xdr:row>44</xdr:row>
      <xdr:rowOff>114300</xdr:rowOff>
    </xdr:from>
    <xdr:to>
      <xdr:col>8</xdr:col>
      <xdr:colOff>552450</xdr:colOff>
      <xdr:row>47</xdr:row>
      <xdr:rowOff>57151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</xdr:col>
      <xdr:colOff>0</xdr:colOff>
      <xdr:row>48</xdr:row>
      <xdr:rowOff>9526</xdr:rowOff>
    </xdr:from>
    <xdr:to>
      <xdr:col>8</xdr:col>
      <xdr:colOff>561975</xdr:colOff>
      <xdr:row>51</xdr:row>
      <xdr:rowOff>142877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</xdr:col>
      <xdr:colOff>276225</xdr:colOff>
      <xdr:row>52</xdr:row>
      <xdr:rowOff>247650</xdr:rowOff>
    </xdr:from>
    <xdr:to>
      <xdr:col>8</xdr:col>
      <xdr:colOff>552450</xdr:colOff>
      <xdr:row>56</xdr:row>
      <xdr:rowOff>1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</xdr:col>
      <xdr:colOff>0</xdr:colOff>
      <xdr:row>56</xdr:row>
      <xdr:rowOff>66676</xdr:rowOff>
    </xdr:from>
    <xdr:to>
      <xdr:col>8</xdr:col>
      <xdr:colOff>561975</xdr:colOff>
      <xdr:row>60</xdr:row>
      <xdr:rowOff>9527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11</xdr:col>
      <xdr:colOff>895350</xdr:colOff>
      <xdr:row>20</xdr:row>
      <xdr:rowOff>228600</xdr:rowOff>
    </xdr:from>
    <xdr:to>
      <xdr:col>14</xdr:col>
      <xdr:colOff>114300</xdr:colOff>
      <xdr:row>23</xdr:row>
      <xdr:rowOff>171451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11</xdr:col>
      <xdr:colOff>923925</xdr:colOff>
      <xdr:row>24</xdr:row>
      <xdr:rowOff>123825</xdr:rowOff>
    </xdr:from>
    <xdr:to>
      <xdr:col>14</xdr:col>
      <xdr:colOff>142875</xdr:colOff>
      <xdr:row>28</xdr:row>
      <xdr:rowOff>9526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ODEOR/AppData/Roaming/Microsoft/Excel/Back%20to%20School%20Planner1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opping List"/>
      <sheetName val="Budget Breakdown"/>
      <sheetName val="To Do List"/>
      <sheetName val="Share List"/>
      <sheetName val="Back to School Planner1 (versio"/>
    </sheetNames>
    <sheetDataSet>
      <sheetData sheetId="0">
        <row r="4">
          <cell r="E4" t="str">
            <v>Purchasing Progress (1 of 6)</v>
          </cell>
        </row>
      </sheetData>
      <sheetData sheetId="1"/>
      <sheetData sheetId="2"/>
      <sheetData sheetId="3"/>
      <sheetData sheetId="4" refreshError="1"/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Tiago Dantas" refreshedDate="43135.056772453703" backgroundQuery="1" createdVersion="6" refreshedVersion="6" minRefreshableVersion="3" recordCount="0" supportSubquery="1" supportAdvancedDrill="1">
  <cacheSource type="external" connectionId="3"/>
  <cacheFields count="3">
    <cacheField name="[controle].[Categoria].[Categoria]" caption="Categoria" numFmtId="0" hierarchy="7" level="1">
      <sharedItems count="4">
        <s v="Diárias _x000a_(339014)"/>
        <s v="Material de Consumo _x000a_(339030)"/>
        <s v="Material Permanente _x000a_(449052)"/>
        <s v="Passagens _x000a_(339033)"/>
      </sharedItems>
    </cacheField>
    <cacheField name="[Measures].[Sum of Custo Total]" caption="Sum of Custo Total" numFmtId="0" hierarchy="23" level="32767"/>
    <cacheField name="[controle].[Quando].[Quando]" caption="Quando" numFmtId="0" hierarchy="10" level="1">
      <sharedItems containsBlank="1" count="4">
        <m/>
        <s v="Agosto"/>
        <s v="Janeiro"/>
        <s v="Setembro"/>
      </sharedItems>
    </cacheField>
  </cacheFields>
  <cacheHierarchies count="24">
    <cacheHierarchy uniqueName="[Categoria].[Categoria]" caption="Categoria" attribute="1" defaultMemberUniqueName="[Categoria].[Categoria].[All]" allUniqueName="[Categoria].[Categoria].[All]" dimensionUniqueName="[Categoria]" displayFolder="" count="2" memberValueDatatype="130" unbalanced="0"/>
    <cacheHierarchy uniqueName="[Categoria].[Classificação]" caption="Classificação" attribute="1" defaultMemberUniqueName="[Categoria].[Classificação].[All]" allUniqueName="[Categoria].[Classificação].[All]" dimensionUniqueName="[Categoria]" displayFolder="" count="2" memberValueDatatype="130" unbalanced="0"/>
    <cacheHierarchy uniqueName="[Categoria].[Crédito]" caption="Crédito" attribute="1" defaultMemberUniqueName="[Categoria].[Crédito].[All]" allUniqueName="[Categoria].[Crédito].[All]" dimensionUniqueName="[Categoria]" displayFolder="" count="2" memberValueDatatype="20" unbalanced="0"/>
    <cacheHierarchy uniqueName="[Categoria1].[Categoria]" caption="Categoria" attribute="1" defaultMemberUniqueName="[Categoria1].[Categoria].[All]" allUniqueName="[Categoria1].[Categoria].[All]" dimensionUniqueName="[Categoria1]" displayFolder="" count="2" memberValueDatatype="130" unbalanced="0"/>
    <cacheHierarchy uniqueName="[Categoria1].[Classificação]" caption="Classificação" attribute="1" defaultMemberUniqueName="[Categoria1].[Classificação].[All]" allUniqueName="[Categoria1].[Classificação].[All]" dimensionUniqueName="[Categoria1]" displayFolder="" count="2" memberValueDatatype="130" unbalanced="0"/>
    <cacheHierarchy uniqueName="[Categoria1].[Crédito]" caption="Crédito" attribute="1" defaultMemberUniqueName="[Categoria1].[Crédito].[All]" allUniqueName="[Categoria1].[Crédito].[All]" dimensionUniqueName="[Categoria1]" displayFolder="" count="2" memberValueDatatype="20" unbalanced="0"/>
    <cacheHierarchy uniqueName="[controle].[Item]" caption="Item" attribute="1" defaultMemberUniqueName="[controle].[Item].[All]" allUniqueName="[controle].[Item].[All]" dimensionUniqueName="[controle]" displayFolder="" count="2" memberValueDatatype="130" unbalanced="0"/>
    <cacheHierarchy uniqueName="[controle].[Categoria]" caption="Categoria" attribute="1" defaultMemberUniqueName="[controle].[Categoria].[All]" allUniqueName="[controle].[Categoria].[All]" dimensionUniqueName="[controle]" displayFolder="" count="2" memberValueDatatype="130" unbalanced="0">
      <fieldsUsage count="2">
        <fieldUsage x="-1"/>
        <fieldUsage x="0"/>
      </fieldsUsage>
    </cacheHierarchy>
    <cacheHierarchy uniqueName="[controle].[Qde.]" caption="Qde." attribute="1" defaultMemberUniqueName="[controle].[Qde.].[All]" allUniqueName="[controle].[Qde.].[All]" dimensionUniqueName="[controle]" displayFolder="" count="2" memberValueDatatype="20" unbalanced="0"/>
    <cacheHierarchy uniqueName="[controle].[Custo Unitário]" caption="Custo Unitário" attribute="1" defaultMemberUniqueName="[controle].[Custo Unitário].[All]" allUniqueName="[controle].[Custo Unitário].[All]" dimensionUniqueName="[controle]" displayFolder="" count="2" memberValueDatatype="20" unbalanced="0"/>
    <cacheHierarchy uniqueName="[controle].[Quando]" caption="Quando" attribute="1" defaultMemberUniqueName="[controle].[Quando].[All]" allUniqueName="[controle].[Quando].[All]" dimensionUniqueName="[controle]" displayFolder="" count="2" memberValueDatatype="130" unbalanced="0">
      <fieldsUsage count="2">
        <fieldUsage x="-1"/>
        <fieldUsage x="2"/>
      </fieldsUsage>
    </cacheHierarchy>
    <cacheHierarchy uniqueName="[controle].[Custo Total]" caption="Custo Total" attribute="1" defaultMemberUniqueName="[controle].[Custo Total].[All]" allUniqueName="[controle].[Custo Total].[All]" dimensionUniqueName="[controle]" displayFolder="" count="2" memberValueDatatype="20" unbalanced="0"/>
    <cacheHierarchy uniqueName="[controle].[Status]" caption="Status" attribute="1" defaultMemberUniqueName="[controle].[Status].[All]" allUniqueName="[controle].[Status].[All]" dimensionUniqueName="[controle]" displayFolder="" count="2" memberValueDatatype="130" unbalanced="0"/>
    <cacheHierarchy uniqueName="[controle].[Observações]" caption="Observações" attribute="1" defaultMemberUniqueName="[controle].[Observações].[All]" allUniqueName="[controle].[Observações].[All]" dimensionUniqueName="[controle]" displayFolder="" count="2" memberValueDatatype="130" unbalanced="0"/>
    <cacheHierarchy uniqueName="[controle].[classificacao]" caption="classificacao" attribute="1" defaultMemberUniqueName="[controle].[classificacao].[All]" allUniqueName="[controle].[classificacao].[All]" dimensionUniqueName="[controle]" displayFolder="" count="2" memberValueDatatype="130" unbalanced="0"/>
    <cacheHierarchy uniqueName="[controle1].[controle]" caption="controle" attribute="1" defaultMemberUniqueName="[controle1].[controle].[All]" allUniqueName="[controle1].[controle].[All]" dimensionUniqueName="[controle1]" displayFolder="" count="2" memberValueDatatype="5" unbalanced="0"/>
    <cacheHierarchy uniqueName="[Measures].[__XL_Count controle]" caption="__XL_Count controle" measure="1" displayFolder="" measureGroup="controle" count="0" hidden="1"/>
    <cacheHierarchy uniqueName="[Measures].[__XL_Count Categoria]" caption="__XL_Count Categoria" measure="1" displayFolder="" measureGroup="Categoria" count="0" hidden="1"/>
    <cacheHierarchy uniqueName="[Measures].[__XL_Count controle1]" caption="__XL_Count controle1" measure="1" displayFolder="" measureGroup="controle1" count="0" hidden="1"/>
    <cacheHierarchy uniqueName="[Measures].[__XL_Count Categoria1]" caption="__XL_Count Categoria1" measure="1" displayFolder="" measureGroup="Categoria1" count="0" hidden="1"/>
    <cacheHierarchy uniqueName="[Measures].[__No measures defined]" caption="__No measures defined" measure="1" displayFolder="" count="0" hidden="1"/>
    <cacheHierarchy uniqueName="[Measures].[Sum of Qde.]" caption="Sum of Qde." measure="1" displayFolder="" measureGroup="controle" count="0" hidden="1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um of Custo Unitário]" caption="Sum of Custo Unitário" measure="1" displayFolder="" measureGroup="controle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um of Custo Total]" caption="Sum of Custo Total" measure="1" displayFolder="" measureGroup="control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5">
    <dimension name="Categoria" uniqueName="[Categoria]" caption="Categoria"/>
    <dimension name="Categoria1" uniqueName="[Categoria1]" caption="Categoria1"/>
    <dimension name="controle" uniqueName="[controle]" caption="controle"/>
    <dimension name="controle1" uniqueName="[controle1]" caption="controle1"/>
    <dimension measure="1" name="Measures" uniqueName="[Measures]" caption="Measures"/>
  </dimensions>
  <measureGroups count="4">
    <measureGroup name="Categoria" caption="Categoria"/>
    <measureGroup name="Categoria1" caption="Categoria1"/>
    <measureGroup name="controle" caption="controle"/>
    <measureGroup name="controle1" caption="controle1"/>
  </measureGroups>
  <maps count="5">
    <map measureGroup="0" dimension="0"/>
    <map measureGroup="1" dimension="1"/>
    <map measureGroup="2" dimension="0"/>
    <map measureGroup="2" dimension="2"/>
    <map measureGroup="3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20:F26" firstHeaderRow="1" firstDataRow="2" firstDataCol="1"/>
  <pivotFields count="3">
    <pivotField axis="axisRow" allDrilled="1" showAll="0" dataSourceSort="1" defaultAttributeDrillState="1">
      <items count="5">
        <item x="0"/>
        <item x="1"/>
        <item x="2"/>
        <item x="3"/>
        <item t="default"/>
      </items>
    </pivotField>
    <pivotField dataField="1" showAll="0"/>
    <pivotField axis="axisCol" allDrilled="1" showAll="0" dataSourceSort="1" defaultAttributeDrillState="1">
      <items count="5">
        <item x="0"/>
        <item x="1"/>
        <item x="2"/>
        <item x="3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dataFields count="1">
    <dataField name="Sum of Custo Total" fld="1" baseField="0" baseItem="0"/>
  </dataFields>
  <pivotHierarchies count="24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7"/>
  </rowHierarchiesUsage>
  <colHierarchiesUsage count="1">
    <colHierarchyUsage hierarchyUsage="1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planejamento.xlsx!controle">
        <x15:activeTabTopLevelEntity name="[controle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Distribuição" displayName="Distribuição" ref="B5:E13" totalsRowShown="0" headerRowDxfId="64" dataDxfId="63">
  <tableColumns count="4">
    <tableColumn id="1" name="classificação" dataDxfId="62"/>
    <tableColumn id="4" name="código" dataDxfId="61"/>
    <tableColumn id="3" name="categoria econômica" dataDxfId="60"/>
    <tableColumn id="2" name="crédito" dataDxfId="59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5" name="controle" displayName="controle" ref="B6:M8" totalsRowShown="0" headerRowDxfId="53" dataDxfId="52">
  <autoFilter ref="B6:M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10" hiddenButton="1"/>
    <filterColumn colId="11" hiddenButton="1"/>
  </autoFilter>
  <tableColumns count="12">
    <tableColumn id="1" name="Item" dataDxfId="51"/>
    <tableColumn id="2" name="classificação" dataDxfId="50"/>
    <tableColumn id="3" name="Qde." dataDxfId="49"/>
    <tableColumn id="4" name="Custo Unitário" dataDxfId="48"/>
    <tableColumn id="5" name="Quando" dataDxfId="47"/>
    <tableColumn id="6" name="Custo Total" dataDxfId="46">
      <calculatedColumnFormula>controle[[#This Row],[Qde.]]*controle[[#This Row],[Custo Unitário]]</calculatedColumnFormula>
    </tableColumn>
    <tableColumn id="7" name="Status" dataDxfId="45"/>
    <tableColumn id="10" name="REQUISIÇÃO" dataDxfId="44"/>
    <tableColumn id="11" name="EMPENHO" dataDxfId="43"/>
    <tableColumn id="12" name="LINK" dataDxfId="42">
      <calculatedColumnFormula>HYPERLINK($C$3&amp;TEXT(J7,"000"),"link")</calculatedColumnFormula>
    </tableColumn>
    <tableColumn id="8" name="Observações" dataDxfId="41"/>
    <tableColumn id="9" name="categoria" dataDxfId="40">
      <calculatedColumnFormula>VLOOKUP(controle[classificação],Distribuição[],3,0)</calculatedColumnFormula>
    </tableColumn>
  </tableColumns>
  <tableStyleInfo name="Table Style 2" showFirstColumn="0" showLastColumn="0" showRowStripes="1" showColumnStripes="0"/>
</table>
</file>

<file path=xl/tables/table3.xml><?xml version="1.0" encoding="utf-8"?>
<table xmlns="http://schemas.openxmlformats.org/spreadsheetml/2006/main" id="9" name="mensal" displayName="mensal" ref="B5:O13" totalsRowShown="0" headerRowDxfId="39" dataDxfId="38">
  <autoFilter ref="B5:O1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despesas" dataDxfId="37">
      <calculatedColumnFormula>Distribuição[[#This Row],[classificação]]</calculatedColumnFormula>
    </tableColumn>
    <tableColumn id="14" name="classificacao" dataDxfId="36">
      <calculatedColumnFormula>VLOOKUP(mensal[[#This Row],[despesas]],Distribuição[],3,0)</calculatedColumnFormula>
    </tableColumn>
    <tableColumn id="2" name="janeiro" dataDxfId="35">
      <calculatedColumnFormula>SUMIFS(controle[Custo Total],controle[classificação],mensal[[#This Row],[despesas]],controle[Quando],mensal[#Headers])</calculatedColumnFormula>
    </tableColumn>
    <tableColumn id="3" name="fevereiro" dataDxfId="34">
      <calculatedColumnFormula>SUMIFS(controle[Custo Total],controle[classificação],mensal[[#This Row],[despesas]],controle[Quando],mensal[#Headers])</calculatedColumnFormula>
    </tableColumn>
    <tableColumn id="4" name="março" dataDxfId="33">
      <calculatedColumnFormula>SUMIFS(controle[Custo Total],controle[classificação],mensal[[#This Row],[despesas]],controle[Quando],mensal[#Headers])</calculatedColumnFormula>
    </tableColumn>
    <tableColumn id="5" name="abril" dataDxfId="32">
      <calculatedColumnFormula>SUMIFS(controle[Custo Total],controle[classificação],mensal[[#This Row],[despesas]],controle[Quando],mensal[#Headers])</calculatedColumnFormula>
    </tableColumn>
    <tableColumn id="6" name="maio" dataDxfId="31">
      <calculatedColumnFormula>SUMIFS(controle[Custo Total],controle[classificação],mensal[[#This Row],[despesas]],controle[Quando],mensal[#Headers])</calculatedColumnFormula>
    </tableColumn>
    <tableColumn id="7" name="junho" dataDxfId="30">
      <calculatedColumnFormula>SUMIFS(controle[Custo Total],controle[classificação],mensal[[#This Row],[despesas]],controle[Quando],mensal[#Headers])</calculatedColumnFormula>
    </tableColumn>
    <tableColumn id="8" name="julho" dataDxfId="29">
      <calculatedColumnFormula>SUMIFS(controle[Custo Total],controle[classificação],mensal[[#This Row],[despesas]],controle[Quando],mensal[#Headers])</calculatedColumnFormula>
    </tableColumn>
    <tableColumn id="9" name="agosto" dataDxfId="28">
      <calculatedColumnFormula>SUMIFS(controle[Custo Total],controle[classificação],mensal[[#This Row],[despesas]],controle[Quando],mensal[#Headers])</calculatedColumnFormula>
    </tableColumn>
    <tableColumn id="10" name="setembro" dataDxfId="27">
      <calculatedColumnFormula>SUMIFS(controle[Custo Total],controle[classificação],mensal[[#This Row],[despesas]],controle[Quando],mensal[#Headers])</calculatedColumnFormula>
    </tableColumn>
    <tableColumn id="11" name="outubro" dataDxfId="26">
      <calculatedColumnFormula>SUMIFS(controle[Custo Total],controle[classificação],mensal[[#This Row],[despesas]],controle[Quando],mensal[#Headers])</calculatedColumnFormula>
    </tableColumn>
    <tableColumn id="12" name="novembro" dataDxfId="25">
      <calculatedColumnFormula>SUMIFS(controle[Custo Total],controle[classificação],mensal[[#This Row],[despesas]],controle[Quando],mensal[#Headers])</calculatedColumnFormula>
    </tableColumn>
    <tableColumn id="13" name="dezembro" dataDxfId="24">
      <calculatedColumnFormula>SUMIFS(controle[Custo Total],controle[classificação],mensal[[#This Row],[despesas]],controle[Quando],mensal[#Headers])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users" displayName="users" ref="B2:G33" totalsRowShown="0" headerRowDxfId="18" dataDxfId="17">
  <autoFilter ref="B2:G3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2" name="unidade" dataDxfId="16"/>
    <tableColumn id="6" name="nome" dataDxfId="15"/>
    <tableColumn id="3" name="e-mail" dataDxfId="14"/>
    <tableColumn id="4" name="ramal" dataDxfId="13"/>
    <tableColumn id="5" name="whatsapp" dataDxfId="12"/>
    <tableColumn id="1" name="versão do excel" dataDxfId="11"/>
  </tableColumns>
  <tableStyleInfo name="Table Style 2" showFirstColumn="0" showLastColumn="0" showRowStripes="1" showColumnStripes="0"/>
</table>
</file>

<file path=xl/tables/table5.xml><?xml version="1.0" encoding="utf-8"?>
<table xmlns="http://schemas.openxmlformats.org/spreadsheetml/2006/main" id="6" name="meses" displayName="meses" ref="A1:A13" totalsRowShown="0" headerRowDxfId="10" dataDxfId="9">
  <autoFilter ref="A1:A13"/>
  <tableColumns count="1">
    <tableColumn id="1" name="Mês" dataDxfId="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" name="tipo" displayName="tipo" ref="G1:G3" totalsRowShown="0" headerRowDxfId="7" dataDxfId="6">
  <autoFilter ref="G1:G3"/>
  <tableColumns count="1">
    <tableColumn id="1" name="Classificação" dataDxfId="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3" name="status" displayName="status" ref="D1:D6" totalsRowShown="0" headerRowDxfId="4" dataDxfId="3">
  <autoFilter ref="D1:D6"/>
  <tableColumns count="1">
    <tableColumn id="1" name="Status" dataDxfId="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Unidades" displayName="Unidades" ref="I1:K32" totalsRowShown="0">
  <autoFilter ref="I1:K32"/>
  <sortState ref="J2:K32">
    <sortCondition ref="K1:K32"/>
  </sortState>
  <tableColumns count="3">
    <tableColumn id="2" name="SIGLA" dataDxfId="1"/>
    <tableColumn id="1" name="UGR" dataDxfId="0"/>
    <tableColumn id="3" name="UNIDAD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7"/>
    <pageSetUpPr fitToPage="1"/>
  </sheetPr>
  <dimension ref="B1:N19"/>
  <sheetViews>
    <sheetView tabSelected="1" workbookViewId="0">
      <selection activeCell="R14" sqref="R14"/>
    </sheetView>
  </sheetViews>
  <sheetFormatPr defaultColWidth="8.85546875" defaultRowHeight="15"/>
  <cols>
    <col min="1" max="1" width="2.7109375" style="4" customWidth="1"/>
    <col min="2" max="2" width="29.85546875" style="4" customWidth="1"/>
    <col min="3" max="3" width="12.7109375" style="4" customWidth="1"/>
    <col min="4" max="4" width="19.7109375" style="4" customWidth="1"/>
    <col min="5" max="5" width="22.42578125" style="4" customWidth="1"/>
    <col min="6" max="9" width="8.85546875" style="4"/>
    <col min="10" max="10" width="4.5703125" style="4" customWidth="1"/>
    <col min="11" max="11" width="8.85546875" style="4"/>
    <col min="12" max="12" width="3.42578125" style="4" customWidth="1"/>
    <col min="13" max="13" width="21.5703125" style="4" customWidth="1"/>
    <col min="14" max="14" width="8.85546875" style="4"/>
    <col min="15" max="15" width="2.7109375" style="4" customWidth="1"/>
    <col min="16" max="16384" width="8.85546875" style="4"/>
  </cols>
  <sheetData>
    <row r="1" spans="2:14" ht="67.5" customHeight="1">
      <c r="B1" s="142" t="s">
        <v>28</v>
      </c>
      <c r="C1" s="142"/>
      <c r="D1" s="46" t="s">
        <v>29</v>
      </c>
    </row>
    <row r="2" spans="2:14" ht="27" customHeight="1"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2:14" ht="28.5" customHeight="1">
      <c r="B3" s="78" t="s">
        <v>133</v>
      </c>
      <c r="C3" s="72"/>
      <c r="D3" s="9"/>
      <c r="N3" s="60" t="str">
        <f>Planejamento!L3</f>
        <v>PROPLAN</v>
      </c>
    </row>
    <row r="5" spans="2:14" ht="20.100000000000001" customHeight="1">
      <c r="B5" s="3" t="s">
        <v>145</v>
      </c>
      <c r="C5" s="74" t="s">
        <v>143</v>
      </c>
      <c r="D5" s="74" t="s">
        <v>144</v>
      </c>
      <c r="E5" s="81" t="s">
        <v>13</v>
      </c>
    </row>
    <row r="6" spans="2:14" ht="20.100000000000001" customHeight="1">
      <c r="B6" s="1" t="s">
        <v>134</v>
      </c>
      <c r="C6" s="75">
        <v>339014</v>
      </c>
      <c r="D6" s="75" t="s">
        <v>31</v>
      </c>
      <c r="E6" s="66"/>
    </row>
    <row r="7" spans="2:14" ht="20.100000000000001" customHeight="1">
      <c r="B7" s="1" t="s">
        <v>136</v>
      </c>
      <c r="C7" s="75">
        <v>339030</v>
      </c>
      <c r="D7" s="75" t="s">
        <v>31</v>
      </c>
      <c r="E7" s="66"/>
    </row>
    <row r="8" spans="2:14" ht="20.100000000000001" customHeight="1">
      <c r="B8" s="1" t="s">
        <v>135</v>
      </c>
      <c r="C8" s="75">
        <v>449052</v>
      </c>
      <c r="D8" s="75" t="s">
        <v>32</v>
      </c>
      <c r="E8" s="66"/>
    </row>
    <row r="9" spans="2:14" ht="20.100000000000001" customHeight="1">
      <c r="B9" s="1" t="s">
        <v>137</v>
      </c>
      <c r="C9" s="75">
        <v>339033</v>
      </c>
      <c r="D9" s="75" t="s">
        <v>31</v>
      </c>
      <c r="E9" s="66"/>
    </row>
    <row r="10" spans="2:14" ht="20.100000000000001" customHeight="1">
      <c r="B10" s="1" t="s">
        <v>138</v>
      </c>
      <c r="C10" s="75">
        <v>339036</v>
      </c>
      <c r="D10" s="75" t="s">
        <v>31</v>
      </c>
      <c r="E10" s="66"/>
    </row>
    <row r="11" spans="2:14" ht="20.100000000000001" customHeight="1">
      <c r="B11" s="1" t="s">
        <v>139</v>
      </c>
      <c r="C11" s="75">
        <v>339039</v>
      </c>
      <c r="D11" s="75" t="s">
        <v>31</v>
      </c>
      <c r="E11" s="66"/>
    </row>
    <row r="12" spans="2:14" ht="20.100000000000001" customHeight="1">
      <c r="B12" s="1" t="s">
        <v>140</v>
      </c>
      <c r="C12" s="75">
        <v>339147</v>
      </c>
      <c r="D12" s="75" t="s">
        <v>31</v>
      </c>
      <c r="E12" s="66"/>
    </row>
    <row r="13" spans="2:14" ht="20.100000000000001" customHeight="1">
      <c r="B13" s="10" t="s">
        <v>141</v>
      </c>
      <c r="C13" s="76">
        <v>339018</v>
      </c>
      <c r="D13" s="75" t="s">
        <v>31</v>
      </c>
      <c r="E13" s="67"/>
    </row>
    <row r="17" spans="7:13" ht="18">
      <c r="G17" s="143" t="s">
        <v>146</v>
      </c>
      <c r="H17" s="143"/>
      <c r="I17" s="143"/>
      <c r="J17" s="143"/>
      <c r="K17" s="143"/>
      <c r="L17" s="80"/>
      <c r="M17" s="77">
        <f>SUMIF(Distribuição[categoria econômica],"Custeio",Distribuição[crédito])</f>
        <v>0</v>
      </c>
    </row>
    <row r="19" spans="7:13" ht="18">
      <c r="G19" s="143" t="s">
        <v>147</v>
      </c>
      <c r="H19" s="143"/>
      <c r="I19" s="143"/>
      <c r="J19" s="143"/>
      <c r="K19" s="143"/>
      <c r="L19" s="80"/>
      <c r="M19" s="77">
        <f>SUMIF(Distribuição[categoria econômica],"Capital",Distribuição[crédito])</f>
        <v>0</v>
      </c>
    </row>
  </sheetData>
  <mergeCells count="3">
    <mergeCell ref="B1:C1"/>
    <mergeCell ref="G19:K19"/>
    <mergeCell ref="G17:K17"/>
  </mergeCells>
  <dataValidations disablePrompts="1" count="1">
    <dataValidation type="list" allowBlank="1" showInputMessage="1" showErrorMessage="1" sqref="D6:D13">
      <formula1>INDIRECT("tipo[Classificação]")</formula1>
    </dataValidation>
  </dataValidations>
  <pageMargins left="0.25" right="0.25" top="0.75" bottom="0.75" header="0.3" footer="0.3"/>
  <pageSetup paperSize="9" scale="83" orientation="landscape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70C0"/>
  </sheetPr>
  <dimension ref="A1:N8"/>
  <sheetViews>
    <sheetView zoomScaleNormal="100" workbookViewId="0">
      <pane ySplit="6" topLeftCell="A7" activePane="bottomLeft" state="frozen"/>
      <selection pane="bottomLeft" activeCell="K8" sqref="K8"/>
    </sheetView>
  </sheetViews>
  <sheetFormatPr defaultColWidth="9.140625" defaultRowHeight="15"/>
  <cols>
    <col min="1" max="1" width="2.7109375" style="16" customWidth="1"/>
    <col min="2" max="2" width="35.7109375" style="16" customWidth="1"/>
    <col min="3" max="3" width="13.5703125" style="16" customWidth="1"/>
    <col min="4" max="4" width="7.85546875" style="15" customWidth="1"/>
    <col min="5" max="5" width="15.85546875" style="16" customWidth="1"/>
    <col min="6" max="6" width="10.140625" style="16" customWidth="1"/>
    <col min="7" max="7" width="17.42578125" style="16" bestFit="1" customWidth="1"/>
    <col min="8" max="10" width="12" style="15" customWidth="1"/>
    <col min="11" max="11" width="17.28515625" style="15" customWidth="1"/>
    <col min="12" max="12" width="23.5703125" style="16" customWidth="1"/>
    <col min="13" max="13" width="13.7109375" style="36" hidden="1" customWidth="1"/>
    <col min="14" max="14" width="2.7109375" style="16" customWidth="1"/>
    <col min="15" max="16384" width="9.140625" style="16"/>
  </cols>
  <sheetData>
    <row r="1" spans="1:14" ht="67.5" customHeight="1">
      <c r="A1" s="22"/>
      <c r="B1" s="23" t="s">
        <v>28</v>
      </c>
      <c r="C1" s="24" t="s">
        <v>29</v>
      </c>
      <c r="D1" s="25"/>
      <c r="E1" s="22"/>
      <c r="F1" s="145"/>
      <c r="G1" s="145"/>
      <c r="H1" s="145"/>
      <c r="I1" s="136"/>
      <c r="J1" s="136"/>
      <c r="K1" s="136"/>
      <c r="L1" s="26"/>
      <c r="M1" s="35"/>
      <c r="N1" s="22"/>
    </row>
    <row r="2" spans="1:14" ht="27" customHeight="1">
      <c r="A2" s="22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35"/>
      <c r="N2" s="22"/>
    </row>
    <row r="3" spans="1:14" ht="17.25" customHeight="1">
      <c r="A3" s="22"/>
      <c r="B3" s="141" t="s">
        <v>167</v>
      </c>
      <c r="C3" s="2" t="s">
        <v>168</v>
      </c>
      <c r="D3" s="140"/>
      <c r="E3" s="140"/>
      <c r="F3" s="140"/>
      <c r="G3" s="140"/>
      <c r="H3" s="140"/>
      <c r="I3" s="137"/>
      <c r="J3" s="137"/>
      <c r="K3" s="137"/>
      <c r="L3" s="131" t="s">
        <v>28</v>
      </c>
      <c r="M3" s="35"/>
      <c r="N3" s="22"/>
    </row>
    <row r="4" spans="1:14" ht="27" customHeight="1">
      <c r="A4" s="22"/>
      <c r="B4" s="22" t="s">
        <v>115</v>
      </c>
      <c r="C4" s="22"/>
      <c r="D4" s="25"/>
      <c r="E4" s="22"/>
      <c r="F4" s="22"/>
      <c r="G4" s="22"/>
      <c r="H4" s="25"/>
      <c r="I4" s="25"/>
      <c r="J4" s="25"/>
      <c r="K4" s="25"/>
      <c r="L4" s="22"/>
      <c r="M4" s="35"/>
      <c r="N4" s="22"/>
    </row>
    <row r="5" spans="1:14" ht="22.5">
      <c r="B5" s="79" t="s">
        <v>50</v>
      </c>
    </row>
    <row r="6" spans="1:14" ht="35.25" customHeight="1">
      <c r="B6" s="17" t="s">
        <v>0</v>
      </c>
      <c r="C6" s="17" t="s">
        <v>145</v>
      </c>
      <c r="D6" s="18" t="s">
        <v>5</v>
      </c>
      <c r="E6" s="17" t="s">
        <v>6</v>
      </c>
      <c r="F6" s="19" t="s">
        <v>7</v>
      </c>
      <c r="G6" s="20" t="s">
        <v>8</v>
      </c>
      <c r="H6" s="21" t="s">
        <v>30</v>
      </c>
      <c r="I6" s="21" t="s">
        <v>166</v>
      </c>
      <c r="J6" s="21" t="s">
        <v>164</v>
      </c>
      <c r="K6" s="21" t="s">
        <v>165</v>
      </c>
      <c r="L6" s="17" t="s">
        <v>10</v>
      </c>
      <c r="M6" s="37" t="s">
        <v>148</v>
      </c>
    </row>
    <row r="7" spans="1:14" ht="45">
      <c r="B7" s="124" t="s">
        <v>160</v>
      </c>
      <c r="C7" s="125" t="s">
        <v>134</v>
      </c>
      <c r="D7" s="126">
        <v>0</v>
      </c>
      <c r="E7" s="127">
        <v>0</v>
      </c>
      <c r="F7" s="128" t="s">
        <v>15</v>
      </c>
      <c r="G7" s="129">
        <f>controle[[#This Row],[Qde.]]*controle[[#This Row],[Custo Unitário]]</f>
        <v>0</v>
      </c>
      <c r="H7" s="126" t="s">
        <v>35</v>
      </c>
      <c r="I7" s="138"/>
      <c r="J7" s="138"/>
      <c r="K7" s="139" t="str">
        <f>HYPERLINK($C$3&amp;TEXT(J7,"000"),"link")</f>
        <v>link</v>
      </c>
      <c r="L7" s="130" t="s">
        <v>161</v>
      </c>
      <c r="M7" s="38" t="str">
        <f>VLOOKUP(controle[classificação],Distribuição[],3,0)</f>
        <v>Custeio</v>
      </c>
    </row>
    <row r="8" spans="1:14" ht="45">
      <c r="B8" s="124" t="s">
        <v>162</v>
      </c>
      <c r="C8" s="132" t="s">
        <v>136</v>
      </c>
      <c r="D8" s="126">
        <v>0</v>
      </c>
      <c r="E8" s="127">
        <v>0</v>
      </c>
      <c r="F8" s="132" t="s">
        <v>15</v>
      </c>
      <c r="G8" s="129">
        <f>controle[[#This Row],[Qde.]]*controle[[#This Row],[Custo Unitário]]</f>
        <v>0</v>
      </c>
      <c r="H8" s="126" t="s">
        <v>35</v>
      </c>
      <c r="I8" s="138"/>
      <c r="J8" s="138"/>
      <c r="K8" s="139" t="str">
        <f>HYPERLINK($C$3&amp;TEXT(J8,"000"),"link")</f>
        <v>link</v>
      </c>
      <c r="L8" s="130" t="s">
        <v>163</v>
      </c>
      <c r="M8" s="133" t="str">
        <f>VLOOKUP(controle[classificação],Distribuição[],3,0)</f>
        <v>Custeio</v>
      </c>
    </row>
  </sheetData>
  <sheetProtection formatCells="0" formatColumns="0" formatRows="0" insertColumns="0" insertRows="0" insertHyperlinks="0" deleteColumns="0" deleteRows="0" sort="0" autoFilter="0" pivotTables="0"/>
  <dataConsolidate>
    <dataRefs count="2">
      <dataRef ref="C16:C21" sheet="Planejamento"/>
      <dataRef ref="G16:G21" sheet="Planejamento"/>
    </dataRefs>
  </dataConsolidate>
  <mergeCells count="2">
    <mergeCell ref="B2:L2"/>
    <mergeCell ref="F1:H1"/>
  </mergeCells>
  <conditionalFormatting sqref="B7:M8">
    <cfRule type="expression" dxfId="58" priority="3">
      <formula>$H7="Planejado"</formula>
    </cfRule>
    <cfRule type="expression" dxfId="57" priority="4">
      <formula>$H7="Pendente"</formula>
    </cfRule>
    <cfRule type="expression" dxfId="56" priority="5">
      <formula>$H7="Pago"</formula>
    </cfRule>
    <cfRule type="expression" dxfId="55" priority="6">
      <formula>$H7="Empenhado"</formula>
    </cfRule>
    <cfRule type="expression" dxfId="54" priority="7">
      <formula>$H7="Cancelado"</formula>
    </cfRule>
  </conditionalFormatting>
  <dataValidations xWindow="340" yWindow="711" count="11">
    <dataValidation type="list" allowBlank="1" showInputMessage="1" showErrorMessage="1" prompt="selecione na lista o mês em que ocorrerá a despesa clicando na seta ao lado direito" sqref="F7:F8">
      <formula1>INDIRECT("meses[MÊS]")</formula1>
    </dataValidation>
    <dataValidation type="list" allowBlank="1" showInputMessage="1" showErrorMessage="1" prompt="selecione na lista o status do item clicando na seta ao lado direito " sqref="H7:H8">
      <formula1>INDIRECT("status[STATUS]")</formula1>
    </dataValidation>
    <dataValidation type="list" allowBlank="1" showInputMessage="1" showErrorMessage="1" sqref="L3">
      <formula1>INDIRECT("users[Unidade]")</formula1>
    </dataValidation>
    <dataValidation type="list" allowBlank="1" showInputMessage="1" showErrorMessage="1" prompt="selecione uma categoria de despesa na lista clicando na seta ao lado direito" sqref="C7:C8">
      <formula1>INDIRECT("Distribuição[CLASSIFICAÇÃO]")</formula1>
    </dataValidation>
    <dataValidation allowBlank="1" showInputMessage="1" showErrorMessage="1" prompt="selecione uma categoria de despesa na lista" sqref="C6"/>
    <dataValidation allowBlank="1" showInputMessage="1" showErrorMessage="1" prompt="insira a descrição do item de despesa" sqref="B7:B8"/>
    <dataValidation allowBlank="1" showInputMessage="1" showErrorMessage="1" prompt="insira a quantidade do item" sqref="D7:D8"/>
    <dataValidation allowBlank="1" showInputMessage="1" showErrorMessage="1" prompt="insira o custo unitário do item" sqref="E7:E8"/>
    <dataValidation allowBlank="1" showInputMessage="1" showErrorMessage="1" prompt="valor da despesa" sqref="G7:G8"/>
    <dataValidation allowBlank="1" showInputMessage="1" showErrorMessage="1" prompt="insira observações pertinentes ao item relevantes para o planejamento e controle (p.ex.: motivo de pendência, nº de requisição, nº de pregão, etc) " sqref="L7:L8"/>
    <dataValidation allowBlank="1" showInputMessage="1" showErrorMessage="1" prompt="selecione na lista o status do item clicando na seta ao lado direito " sqref="I7:K8"/>
  </dataValidations>
  <pageMargins left="0.25" right="0.25" top="0.39" bottom="0.36" header="0.3" footer="0.3"/>
  <pageSetup paperSize="9" orientation="landscape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dicionaLinha">
                <anchor moveWithCells="1">
                  <from>
                    <xdr:col>11</xdr:col>
                    <xdr:colOff>171450</xdr:colOff>
                    <xdr:row>3</xdr:row>
                    <xdr:rowOff>276225</xdr:rowOff>
                  </from>
                  <to>
                    <xdr:col>11</xdr:col>
                    <xdr:colOff>1438275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0.39997558519241921"/>
    <pageSetUpPr fitToPage="1"/>
  </sheetPr>
  <dimension ref="B1:O20"/>
  <sheetViews>
    <sheetView workbookViewId="0">
      <selection activeCell="R4" sqref="R4"/>
    </sheetView>
  </sheetViews>
  <sheetFormatPr defaultColWidth="9.140625" defaultRowHeight="15"/>
  <cols>
    <col min="1" max="1" width="2.7109375" style="4" customWidth="1"/>
    <col min="2" max="2" width="31.28515625" style="4" customWidth="1"/>
    <col min="3" max="3" width="12.5703125" style="4" hidden="1" customWidth="1"/>
    <col min="4" max="15" width="15.7109375" style="4" customWidth="1"/>
    <col min="16" max="16" width="2.7109375" style="4" customWidth="1"/>
    <col min="17" max="16384" width="9.140625" style="4"/>
  </cols>
  <sheetData>
    <row r="1" spans="2:15" ht="67.5" customHeight="1">
      <c r="B1" s="142" t="s">
        <v>28</v>
      </c>
      <c r="C1" s="142"/>
      <c r="D1" s="142"/>
      <c r="E1" s="46" t="s">
        <v>29</v>
      </c>
    </row>
    <row r="2" spans="2:15" ht="27" customHeight="1"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2:15" ht="30" customHeight="1">
      <c r="B3" s="62" t="s">
        <v>116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3" t="str">
        <f>Planejamento!L3</f>
        <v>PROPLAN</v>
      </c>
    </row>
    <row r="5" spans="2:15">
      <c r="B5" s="39" t="s">
        <v>117</v>
      </c>
      <c r="C5" s="39" t="s">
        <v>42</v>
      </c>
      <c r="D5" s="51" t="s">
        <v>118</v>
      </c>
      <c r="E5" s="51" t="s">
        <v>119</v>
      </c>
      <c r="F5" s="51" t="s">
        <v>120</v>
      </c>
      <c r="G5" s="51" t="s">
        <v>121</v>
      </c>
      <c r="H5" s="51" t="s">
        <v>122</v>
      </c>
      <c r="I5" s="51" t="s">
        <v>123</v>
      </c>
      <c r="J5" s="51" t="s">
        <v>124</v>
      </c>
      <c r="K5" s="51" t="s">
        <v>125</v>
      </c>
      <c r="L5" s="51" t="s">
        <v>126</v>
      </c>
      <c r="M5" s="51" t="s">
        <v>127</v>
      </c>
      <c r="N5" s="51" t="s">
        <v>128</v>
      </c>
      <c r="O5" s="55" t="s">
        <v>129</v>
      </c>
    </row>
    <row r="6" spans="2:15">
      <c r="B6" s="2" t="str">
        <f>Distribuição[[#This Row],[classificação]]</f>
        <v>Diárias</v>
      </c>
      <c r="C6" s="2" t="str">
        <f>VLOOKUP(mensal[[#This Row],[despesas]],Distribuição[],3,0)</f>
        <v>Custeio</v>
      </c>
      <c r="D6" s="52">
        <f>SUMIFS(controle[Custo Total],controle[classificação],mensal[[#This Row],[despesas]],controle[Quando],mensal[#Headers])</f>
        <v>0</v>
      </c>
      <c r="E6" s="52">
        <f>SUMIFS(controle[Custo Total],controle[classificação],mensal[[#This Row],[despesas]],controle[Quando],mensal[#Headers])</f>
        <v>0</v>
      </c>
      <c r="F6" s="52">
        <f>SUMIFS(controle[Custo Total],controle[classificação],mensal[[#This Row],[despesas]],controle[Quando],mensal[#Headers])</f>
        <v>0</v>
      </c>
      <c r="G6" s="52">
        <f>SUMIFS(controle[Custo Total],controle[classificação],mensal[[#This Row],[despesas]],controle[Quando],mensal[#Headers])</f>
        <v>0</v>
      </c>
      <c r="H6" s="52">
        <f>SUMIFS(controle[Custo Total],controle[classificação],mensal[[#This Row],[despesas]],controle[Quando],mensal[#Headers])</f>
        <v>0</v>
      </c>
      <c r="I6" s="52">
        <f>SUMIFS(controle[Custo Total],controle[classificação],mensal[[#This Row],[despesas]],controle[Quando],mensal[#Headers])</f>
        <v>0</v>
      </c>
      <c r="J6" s="52">
        <f>SUMIFS(controle[Custo Total],controle[classificação],mensal[[#This Row],[despesas]],controle[Quando],mensal[#Headers])</f>
        <v>0</v>
      </c>
      <c r="K6" s="52">
        <f>SUMIFS(controle[Custo Total],controle[classificação],mensal[[#This Row],[despesas]],controle[Quando],mensal[#Headers])</f>
        <v>0</v>
      </c>
      <c r="L6" s="52">
        <f>SUMIFS(controle[Custo Total],controle[classificação],mensal[[#This Row],[despesas]],controle[Quando],mensal[#Headers])</f>
        <v>0</v>
      </c>
      <c r="M6" s="52">
        <f>SUMIFS(controle[Custo Total],controle[classificação],mensal[[#This Row],[despesas]],controle[Quando],mensal[#Headers])</f>
        <v>0</v>
      </c>
      <c r="N6" s="52">
        <f>SUMIFS(controle[Custo Total],controle[classificação],mensal[[#This Row],[despesas]],controle[Quando],mensal[#Headers])</f>
        <v>0</v>
      </c>
      <c r="O6" s="56">
        <f>SUMIFS(controle[Custo Total],controle[classificação],mensal[[#This Row],[despesas]],controle[Quando],mensal[#Headers])</f>
        <v>0</v>
      </c>
    </row>
    <row r="7" spans="2:15">
      <c r="B7" s="2" t="str">
        <f>Distribuição[[#This Row],[classificação]]</f>
        <v>Material de Consumo</v>
      </c>
      <c r="C7" s="2" t="str">
        <f>VLOOKUP(mensal[[#This Row],[despesas]],Distribuição[],3,0)</f>
        <v>Custeio</v>
      </c>
      <c r="D7" s="52">
        <f>SUMIFS(controle[Custo Total],controle[classificação],mensal[[#This Row],[despesas]],controle[Quando],mensal[#Headers])</f>
        <v>0</v>
      </c>
      <c r="E7" s="52">
        <f>SUMIFS(controle[Custo Total],controle[classificação],mensal[[#This Row],[despesas]],controle[Quando],mensal[#Headers])</f>
        <v>0</v>
      </c>
      <c r="F7" s="52">
        <f>SUMIFS(controle[Custo Total],controle[classificação],mensal[[#This Row],[despesas]],controle[Quando],mensal[#Headers])</f>
        <v>0</v>
      </c>
      <c r="G7" s="52">
        <f>SUMIFS(controle[Custo Total],controle[classificação],mensal[[#This Row],[despesas]],controle[Quando],mensal[#Headers])</f>
        <v>0</v>
      </c>
      <c r="H7" s="52">
        <f>SUMIFS(controle[Custo Total],controle[classificação],mensal[[#This Row],[despesas]],controle[Quando],mensal[#Headers])</f>
        <v>0</v>
      </c>
      <c r="I7" s="52">
        <f>SUMIFS(controle[Custo Total],controle[classificação],mensal[[#This Row],[despesas]],controle[Quando],mensal[#Headers])</f>
        <v>0</v>
      </c>
      <c r="J7" s="52">
        <f>SUMIFS(controle[Custo Total],controle[classificação],mensal[[#This Row],[despesas]],controle[Quando],mensal[#Headers])</f>
        <v>0</v>
      </c>
      <c r="K7" s="52">
        <f>SUMIFS(controle[Custo Total],controle[classificação],mensal[[#This Row],[despesas]],controle[Quando],mensal[#Headers])</f>
        <v>0</v>
      </c>
      <c r="L7" s="52">
        <f>SUMIFS(controle[Custo Total],controle[classificação],mensal[[#This Row],[despesas]],controle[Quando],mensal[#Headers])</f>
        <v>0</v>
      </c>
      <c r="M7" s="52">
        <f>SUMIFS(controle[Custo Total],controle[classificação],mensal[[#This Row],[despesas]],controle[Quando],mensal[#Headers])</f>
        <v>0</v>
      </c>
      <c r="N7" s="52">
        <f>SUMIFS(controle[Custo Total],controle[classificação],mensal[[#This Row],[despesas]],controle[Quando],mensal[#Headers])</f>
        <v>0</v>
      </c>
      <c r="O7" s="56">
        <f>SUMIFS(controle[Custo Total],controle[classificação],mensal[[#This Row],[despesas]],controle[Quando],mensal[#Headers])</f>
        <v>0</v>
      </c>
    </row>
    <row r="8" spans="2:15">
      <c r="B8" s="2" t="str">
        <f>Distribuição[[#This Row],[classificação]]</f>
        <v>Material Permanente</v>
      </c>
      <c r="C8" s="2" t="str">
        <f>VLOOKUP(mensal[[#This Row],[despesas]],Distribuição[],3,0)</f>
        <v>Capital</v>
      </c>
      <c r="D8" s="52">
        <f>SUMIFS(controle[Custo Total],controle[classificação],mensal[[#This Row],[despesas]],controle[Quando],mensal[#Headers])</f>
        <v>0</v>
      </c>
      <c r="E8" s="52">
        <f>SUMIFS(controle[Custo Total],controle[classificação],mensal[[#This Row],[despesas]],controle[Quando],mensal[#Headers])</f>
        <v>0</v>
      </c>
      <c r="F8" s="52">
        <f>SUMIFS(controle[Custo Total],controle[classificação],mensal[[#This Row],[despesas]],controle[Quando],mensal[#Headers])</f>
        <v>0</v>
      </c>
      <c r="G8" s="52">
        <f>SUMIFS(controle[Custo Total],controle[classificação],mensal[[#This Row],[despesas]],controle[Quando],mensal[#Headers])</f>
        <v>0</v>
      </c>
      <c r="H8" s="52">
        <f>SUMIFS(controle[Custo Total],controle[classificação],mensal[[#This Row],[despesas]],controle[Quando],mensal[#Headers])</f>
        <v>0</v>
      </c>
      <c r="I8" s="52">
        <f>SUMIFS(controle[Custo Total],controle[classificação],mensal[[#This Row],[despesas]],controle[Quando],mensal[#Headers])</f>
        <v>0</v>
      </c>
      <c r="J8" s="52">
        <f>SUMIFS(controle[Custo Total],controle[classificação],mensal[[#This Row],[despesas]],controle[Quando],mensal[#Headers])</f>
        <v>0</v>
      </c>
      <c r="K8" s="52">
        <f>SUMIFS(controle[Custo Total],controle[classificação],mensal[[#This Row],[despesas]],controle[Quando],mensal[#Headers])</f>
        <v>0</v>
      </c>
      <c r="L8" s="52">
        <f>SUMIFS(controle[Custo Total],controle[classificação],mensal[[#This Row],[despesas]],controle[Quando],mensal[#Headers])</f>
        <v>0</v>
      </c>
      <c r="M8" s="52">
        <f>SUMIFS(controle[Custo Total],controle[classificação],mensal[[#This Row],[despesas]],controle[Quando],mensal[#Headers])</f>
        <v>0</v>
      </c>
      <c r="N8" s="52">
        <f>SUMIFS(controle[Custo Total],controle[classificação],mensal[[#This Row],[despesas]],controle[Quando],mensal[#Headers])</f>
        <v>0</v>
      </c>
      <c r="O8" s="56">
        <f>SUMIFS(controle[Custo Total],controle[classificação],mensal[[#This Row],[despesas]],controle[Quando],mensal[#Headers])</f>
        <v>0</v>
      </c>
    </row>
    <row r="9" spans="2:15">
      <c r="B9" s="2" t="str">
        <f>Distribuição[[#This Row],[classificação]]</f>
        <v>Passagens</v>
      </c>
      <c r="C9" s="2" t="str">
        <f>VLOOKUP(mensal[[#This Row],[despesas]],Distribuição[],3,0)</f>
        <v>Custeio</v>
      </c>
      <c r="D9" s="52">
        <f>SUMIFS(controle[Custo Total],controle[classificação],mensal[[#This Row],[despesas]],controle[Quando],mensal[#Headers])</f>
        <v>0</v>
      </c>
      <c r="E9" s="52">
        <f>SUMIFS(controle[Custo Total],controle[classificação],mensal[[#This Row],[despesas]],controle[Quando],mensal[#Headers])</f>
        <v>0</v>
      </c>
      <c r="F9" s="52">
        <f>SUMIFS(controle[Custo Total],controle[classificação],mensal[[#This Row],[despesas]],controle[Quando],mensal[#Headers])</f>
        <v>0</v>
      </c>
      <c r="G9" s="52">
        <f>SUMIFS(controle[Custo Total],controle[classificação],mensal[[#This Row],[despesas]],controle[Quando],mensal[#Headers])</f>
        <v>0</v>
      </c>
      <c r="H9" s="52">
        <f>SUMIFS(controle[Custo Total],controle[classificação],mensal[[#This Row],[despesas]],controle[Quando],mensal[#Headers])</f>
        <v>0</v>
      </c>
      <c r="I9" s="52">
        <f>SUMIFS(controle[Custo Total],controle[classificação],mensal[[#This Row],[despesas]],controle[Quando],mensal[#Headers])</f>
        <v>0</v>
      </c>
      <c r="J9" s="52">
        <f>SUMIFS(controle[Custo Total],controle[classificação],mensal[[#This Row],[despesas]],controle[Quando],mensal[#Headers])</f>
        <v>0</v>
      </c>
      <c r="K9" s="52">
        <f>SUMIFS(controle[Custo Total],controle[classificação],mensal[[#This Row],[despesas]],controle[Quando],mensal[#Headers])</f>
        <v>0</v>
      </c>
      <c r="L9" s="52">
        <f>SUMIFS(controle[Custo Total],controle[classificação],mensal[[#This Row],[despesas]],controle[Quando],mensal[#Headers])</f>
        <v>0</v>
      </c>
      <c r="M9" s="52">
        <f>SUMIFS(controle[Custo Total],controle[classificação],mensal[[#This Row],[despesas]],controle[Quando],mensal[#Headers])</f>
        <v>0</v>
      </c>
      <c r="N9" s="52">
        <f>SUMIFS(controle[Custo Total],controle[classificação],mensal[[#This Row],[despesas]],controle[Quando],mensal[#Headers])</f>
        <v>0</v>
      </c>
      <c r="O9" s="56">
        <f>SUMIFS(controle[Custo Total],controle[classificação],mensal[[#This Row],[despesas]],controle[Quando],mensal[#Headers])</f>
        <v>0</v>
      </c>
    </row>
    <row r="10" spans="2:15">
      <c r="B10" s="2" t="str">
        <f>Distribuição[[#This Row],[classificação]]</f>
        <v>Serviços Pessoa Física</v>
      </c>
      <c r="C10" s="2" t="str">
        <f>VLOOKUP(mensal[[#This Row],[despesas]],Distribuição[],3,0)</f>
        <v>Custeio</v>
      </c>
      <c r="D10" s="52">
        <f>SUMIFS(controle[Custo Total],controle[classificação],mensal[[#This Row],[despesas]],controle[Quando],mensal[#Headers])</f>
        <v>0</v>
      </c>
      <c r="E10" s="52">
        <f>SUMIFS(controle[Custo Total],controle[classificação],mensal[[#This Row],[despesas]],controle[Quando],mensal[#Headers])</f>
        <v>0</v>
      </c>
      <c r="F10" s="52">
        <f>SUMIFS(controle[Custo Total],controle[classificação],mensal[[#This Row],[despesas]],controle[Quando],mensal[#Headers])</f>
        <v>0</v>
      </c>
      <c r="G10" s="52">
        <f>SUMIFS(controle[Custo Total],controle[classificação],mensal[[#This Row],[despesas]],controle[Quando],mensal[#Headers])</f>
        <v>0</v>
      </c>
      <c r="H10" s="52">
        <f>SUMIFS(controle[Custo Total],controle[classificação],mensal[[#This Row],[despesas]],controle[Quando],mensal[#Headers])</f>
        <v>0</v>
      </c>
      <c r="I10" s="52">
        <f>SUMIFS(controle[Custo Total],controle[classificação],mensal[[#This Row],[despesas]],controle[Quando],mensal[#Headers])</f>
        <v>0</v>
      </c>
      <c r="J10" s="52">
        <f>SUMIFS(controle[Custo Total],controle[classificação],mensal[[#This Row],[despesas]],controle[Quando],mensal[#Headers])</f>
        <v>0</v>
      </c>
      <c r="K10" s="52">
        <f>SUMIFS(controle[Custo Total],controle[classificação],mensal[[#This Row],[despesas]],controle[Quando],mensal[#Headers])</f>
        <v>0</v>
      </c>
      <c r="L10" s="52">
        <f>SUMIFS(controle[Custo Total],controle[classificação],mensal[[#This Row],[despesas]],controle[Quando],mensal[#Headers])</f>
        <v>0</v>
      </c>
      <c r="M10" s="52">
        <f>SUMIFS(controle[Custo Total],controle[classificação],mensal[[#This Row],[despesas]],controle[Quando],mensal[#Headers])</f>
        <v>0</v>
      </c>
      <c r="N10" s="52">
        <f>SUMIFS(controle[Custo Total],controle[classificação],mensal[[#This Row],[despesas]],controle[Quando],mensal[#Headers])</f>
        <v>0</v>
      </c>
      <c r="O10" s="56">
        <f>SUMIFS(controle[Custo Total],controle[classificação],mensal[[#This Row],[despesas]],controle[Quando],mensal[#Headers])</f>
        <v>0</v>
      </c>
    </row>
    <row r="11" spans="2:15">
      <c r="B11" s="2" t="str">
        <f>Distribuição[[#This Row],[classificação]]</f>
        <v>Serviços Pessoa Jurídica</v>
      </c>
      <c r="C11" s="2" t="str">
        <f>VLOOKUP(mensal[[#This Row],[despesas]],Distribuição[],3,0)</f>
        <v>Custeio</v>
      </c>
      <c r="D11" s="52">
        <f>SUMIFS(controle[Custo Total],controle[classificação],mensal[[#This Row],[despesas]],controle[Quando],mensal[#Headers])</f>
        <v>0</v>
      </c>
      <c r="E11" s="52">
        <f>SUMIFS(controle[Custo Total],controle[classificação],mensal[[#This Row],[despesas]],controle[Quando],mensal[#Headers])</f>
        <v>0</v>
      </c>
      <c r="F11" s="52">
        <f>SUMIFS(controle[Custo Total],controle[classificação],mensal[[#This Row],[despesas]],controle[Quando],mensal[#Headers])</f>
        <v>0</v>
      </c>
      <c r="G11" s="52">
        <f>SUMIFS(controle[Custo Total],controle[classificação],mensal[[#This Row],[despesas]],controle[Quando],mensal[#Headers])</f>
        <v>0</v>
      </c>
      <c r="H11" s="52">
        <f>SUMIFS(controle[Custo Total],controle[classificação],mensal[[#This Row],[despesas]],controle[Quando],mensal[#Headers])</f>
        <v>0</v>
      </c>
      <c r="I11" s="52">
        <f>SUMIFS(controle[Custo Total],controle[classificação],mensal[[#This Row],[despesas]],controle[Quando],mensal[#Headers])</f>
        <v>0</v>
      </c>
      <c r="J11" s="52">
        <f>SUMIFS(controle[Custo Total],controle[classificação],mensal[[#This Row],[despesas]],controle[Quando],mensal[#Headers])</f>
        <v>0</v>
      </c>
      <c r="K11" s="52">
        <f>SUMIFS(controle[Custo Total],controle[classificação],mensal[[#This Row],[despesas]],controle[Quando],mensal[#Headers])</f>
        <v>0</v>
      </c>
      <c r="L11" s="52">
        <f>SUMIFS(controle[Custo Total],controle[classificação],mensal[[#This Row],[despesas]],controle[Quando],mensal[#Headers])</f>
        <v>0</v>
      </c>
      <c r="M11" s="52">
        <f>SUMIFS(controle[Custo Total],controle[classificação],mensal[[#This Row],[despesas]],controle[Quando],mensal[#Headers])</f>
        <v>0</v>
      </c>
      <c r="N11" s="52">
        <f>SUMIFS(controle[Custo Total],controle[classificação],mensal[[#This Row],[despesas]],controle[Quando],mensal[#Headers])</f>
        <v>0</v>
      </c>
      <c r="O11" s="56">
        <f>SUMIFS(controle[Custo Total],controle[classificação],mensal[[#This Row],[despesas]],controle[Quando],mensal[#Headers])</f>
        <v>0</v>
      </c>
    </row>
    <row r="12" spans="2:15">
      <c r="B12" s="2" t="str">
        <f>Distribuição[[#This Row],[classificação]]</f>
        <v>Contribuições</v>
      </c>
      <c r="C12" s="2" t="str">
        <f>VLOOKUP(mensal[[#This Row],[despesas]],Distribuição[],3,0)</f>
        <v>Custeio</v>
      </c>
      <c r="D12" s="52">
        <f>SUMIFS(controle[Custo Total],controle[classificação],mensal[[#This Row],[despesas]],controle[Quando],mensal[#Headers])</f>
        <v>0</v>
      </c>
      <c r="E12" s="52">
        <f>SUMIFS(controle[Custo Total],controle[classificação],mensal[[#This Row],[despesas]],controle[Quando],mensal[#Headers])</f>
        <v>0</v>
      </c>
      <c r="F12" s="52">
        <f>SUMIFS(controle[Custo Total],controle[classificação],mensal[[#This Row],[despesas]],controle[Quando],mensal[#Headers])</f>
        <v>0</v>
      </c>
      <c r="G12" s="52">
        <f>SUMIFS(controle[Custo Total],controle[classificação],mensal[[#This Row],[despesas]],controle[Quando],mensal[#Headers])</f>
        <v>0</v>
      </c>
      <c r="H12" s="52">
        <f>SUMIFS(controle[Custo Total],controle[classificação],mensal[[#This Row],[despesas]],controle[Quando],mensal[#Headers])</f>
        <v>0</v>
      </c>
      <c r="I12" s="52">
        <f>SUMIFS(controle[Custo Total],controle[classificação],mensal[[#This Row],[despesas]],controle[Quando],mensal[#Headers])</f>
        <v>0</v>
      </c>
      <c r="J12" s="52">
        <f>SUMIFS(controle[Custo Total],controle[classificação],mensal[[#This Row],[despesas]],controle[Quando],mensal[#Headers])</f>
        <v>0</v>
      </c>
      <c r="K12" s="52">
        <f>SUMIFS(controle[Custo Total],controle[classificação],mensal[[#This Row],[despesas]],controle[Quando],mensal[#Headers])</f>
        <v>0</v>
      </c>
      <c r="L12" s="52">
        <f>SUMIFS(controle[Custo Total],controle[classificação],mensal[[#This Row],[despesas]],controle[Quando],mensal[#Headers])</f>
        <v>0</v>
      </c>
      <c r="M12" s="52">
        <f>SUMIFS(controle[Custo Total],controle[classificação],mensal[[#This Row],[despesas]],controle[Quando],mensal[#Headers])</f>
        <v>0</v>
      </c>
      <c r="N12" s="52">
        <f>SUMIFS(controle[Custo Total],controle[classificação],mensal[[#This Row],[despesas]],controle[Quando],mensal[#Headers])</f>
        <v>0</v>
      </c>
      <c r="O12" s="56">
        <f>SUMIFS(controle[Custo Total],controle[classificação],mensal[[#This Row],[despesas]],controle[Quando],mensal[#Headers])</f>
        <v>0</v>
      </c>
    </row>
    <row r="13" spans="2:15">
      <c r="B13" s="2" t="str">
        <f>Distribuição[[#This Row],[classificação]]</f>
        <v>Bolsas</v>
      </c>
      <c r="C13" s="2" t="str">
        <f>VLOOKUP(mensal[[#This Row],[despesas]],Distribuição[],3,0)</f>
        <v>Custeio</v>
      </c>
      <c r="D13" s="52">
        <f>SUMIFS(controle[Custo Total],controle[classificação],mensal[[#This Row],[despesas]],controle[Quando],mensal[#Headers])</f>
        <v>0</v>
      </c>
      <c r="E13" s="52">
        <f>SUMIFS(controle[Custo Total],controle[classificação],mensal[[#This Row],[despesas]],controle[Quando],mensal[#Headers])</f>
        <v>0</v>
      </c>
      <c r="F13" s="52">
        <f>SUMIFS(controle[Custo Total],controle[classificação],mensal[[#This Row],[despesas]],controle[Quando],mensal[#Headers])</f>
        <v>0</v>
      </c>
      <c r="G13" s="52">
        <f>SUMIFS(controle[Custo Total],controle[classificação],mensal[[#This Row],[despesas]],controle[Quando],mensal[#Headers])</f>
        <v>0</v>
      </c>
      <c r="H13" s="52">
        <f>SUMIFS(controle[Custo Total],controle[classificação],mensal[[#This Row],[despesas]],controle[Quando],mensal[#Headers])</f>
        <v>0</v>
      </c>
      <c r="I13" s="52">
        <f>SUMIFS(controle[Custo Total],controle[classificação],mensal[[#This Row],[despesas]],controle[Quando],mensal[#Headers])</f>
        <v>0</v>
      </c>
      <c r="J13" s="52">
        <f>SUMIFS(controle[Custo Total],controle[classificação],mensal[[#This Row],[despesas]],controle[Quando],mensal[#Headers])</f>
        <v>0</v>
      </c>
      <c r="K13" s="52">
        <f>SUMIFS(controle[Custo Total],controle[classificação],mensal[[#This Row],[despesas]],controle[Quando],mensal[#Headers])</f>
        <v>0</v>
      </c>
      <c r="L13" s="52">
        <f>SUMIFS(controle[Custo Total],controle[classificação],mensal[[#This Row],[despesas]],controle[Quando],mensal[#Headers])</f>
        <v>0</v>
      </c>
      <c r="M13" s="52">
        <f>SUMIFS(controle[Custo Total],controle[classificação],mensal[[#This Row],[despesas]],controle[Quando],mensal[#Headers])</f>
        <v>0</v>
      </c>
      <c r="N13" s="52">
        <f>SUMIFS(controle[Custo Total],controle[classificação],mensal[[#This Row],[despesas]],controle[Quando],mensal[#Headers])</f>
        <v>0</v>
      </c>
      <c r="O13" s="56">
        <f>SUMIFS(controle[Custo Total],controle[classificação],mensal[[#This Row],[despesas]],controle[Quando],mensal[#Headers])</f>
        <v>0</v>
      </c>
    </row>
    <row r="14" spans="2:15"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7"/>
    </row>
    <row r="15" spans="2:15"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7"/>
    </row>
    <row r="16" spans="2:15"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8"/>
    </row>
    <row r="17" spans="2:15" ht="40.15" customHeight="1">
      <c r="B17" s="45" t="s">
        <v>130</v>
      </c>
      <c r="C17" s="44"/>
      <c r="D17" s="82">
        <f>SUMIF(mensal[classificacao],"custeio",mensal[janeiro])</f>
        <v>0</v>
      </c>
      <c r="E17" s="82">
        <f>SUMIF(mensal[classificacao],"custeio",mensal[fevereiro])</f>
        <v>0</v>
      </c>
      <c r="F17" s="82">
        <f>SUMIF(mensal[classificacao],"custeio",mensal[março])</f>
        <v>0</v>
      </c>
      <c r="G17" s="82">
        <f>SUMIF(mensal[classificacao],"custeio",mensal[abril])</f>
        <v>0</v>
      </c>
      <c r="H17" s="82">
        <f>SUMIF(mensal[classificacao],"custeio",mensal[maio])</f>
        <v>0</v>
      </c>
      <c r="I17" s="82">
        <f>SUMIF(mensal[classificacao],"custeio",mensal[junho])</f>
        <v>0</v>
      </c>
      <c r="J17" s="82">
        <f>SUMIF(mensal[classificacao],"custeio",mensal[julho])</f>
        <v>0</v>
      </c>
      <c r="K17" s="82">
        <f>SUMIF(mensal[classificacao],"custeio",mensal[agosto])</f>
        <v>0</v>
      </c>
      <c r="L17" s="82">
        <f>SUMIF(mensal[classificacao],"custeio",mensal[setembro])</f>
        <v>0</v>
      </c>
      <c r="M17" s="82">
        <f>SUMIF(mensal[classificacao],"custeio",mensal[outubro])</f>
        <v>0</v>
      </c>
      <c r="N17" s="82">
        <f>SUMIF(mensal[classificacao],"custeio",mensal[novembro])</f>
        <v>0</v>
      </c>
      <c r="O17" s="83">
        <f>SUMIF(mensal[classificacao],"custeio",mensal[dezembro])</f>
        <v>0</v>
      </c>
    </row>
    <row r="18" spans="2:15"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7"/>
    </row>
    <row r="19" spans="2:15"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7"/>
    </row>
    <row r="20" spans="2:15" ht="40.15" customHeight="1">
      <c r="B20" s="45" t="s">
        <v>131</v>
      </c>
      <c r="C20" s="44"/>
      <c r="D20" s="82">
        <f>SUMIF(mensal[classificacao],"capital",mensal[janeiro])</f>
        <v>0</v>
      </c>
      <c r="E20" s="82">
        <f>SUMIF(mensal[classificacao],"capital",mensal[fevereiro])</f>
        <v>0</v>
      </c>
      <c r="F20" s="82">
        <f>SUMIF(mensal[classificacao],"capital",mensal[março])</f>
        <v>0</v>
      </c>
      <c r="G20" s="82">
        <f>SUMIF(mensal[classificacao],"capital",mensal[abril])</f>
        <v>0</v>
      </c>
      <c r="H20" s="82">
        <f>SUMIF(mensal[classificacao],"capital",mensal[maio])</f>
        <v>0</v>
      </c>
      <c r="I20" s="82">
        <f>SUMIF(mensal[classificacao],"capital",mensal[junho])</f>
        <v>0</v>
      </c>
      <c r="J20" s="82">
        <f>SUMIF(mensal[classificacao],"capital",mensal[julho])</f>
        <v>0</v>
      </c>
      <c r="K20" s="82">
        <f>SUMIF(mensal[classificacao],"capital",mensal[agosto])</f>
        <v>0</v>
      </c>
      <c r="L20" s="82">
        <f>SUMIF(mensal[classificacao],"capital",mensal[setembro])</f>
        <v>0</v>
      </c>
      <c r="M20" s="82">
        <f>SUMIF(mensal[classificacao],"capital",mensal[outubro])</f>
        <v>0</v>
      </c>
      <c r="N20" s="82">
        <f>SUMIF(mensal[classificacao],"capital",mensal[novembro])</f>
        <v>0</v>
      </c>
      <c r="O20" s="83">
        <f>SUMIF(mensal[classificacao],"capital",mensal[dezembro])</f>
        <v>0</v>
      </c>
    </row>
  </sheetData>
  <mergeCells count="1">
    <mergeCell ref="B1:D1"/>
  </mergeCells>
  <pageMargins left="0.25" right="0.25" top="0.75" bottom="0.75" header="0.3" footer="0.3"/>
  <pageSetup paperSize="9" scale="64" orientation="landscape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499984740745262"/>
  </sheetPr>
  <dimension ref="A1:P61"/>
  <sheetViews>
    <sheetView zoomScaleNormal="100" workbookViewId="0">
      <selection activeCell="E68" sqref="E68"/>
    </sheetView>
  </sheetViews>
  <sheetFormatPr defaultColWidth="9.140625" defaultRowHeight="15"/>
  <cols>
    <col min="1" max="1" width="2.7109375" style="4" customWidth="1"/>
    <col min="2" max="2" width="26.7109375" style="4" customWidth="1"/>
    <col min="3" max="3" width="20.7109375" style="4" customWidth="1"/>
    <col min="4" max="5" width="4.28515625" style="4" customWidth="1"/>
    <col min="6" max="6" width="9.140625" style="4"/>
    <col min="7" max="8" width="8.28515625" style="4" customWidth="1"/>
    <col min="9" max="9" width="9.140625" style="4" customWidth="1"/>
    <col min="10" max="11" width="4.28515625" style="4" customWidth="1"/>
    <col min="12" max="12" width="26.7109375" style="4" customWidth="1"/>
    <col min="13" max="13" width="20.7109375" style="4" customWidth="1"/>
    <col min="14" max="14" width="2.7109375" style="4" customWidth="1"/>
    <col min="15" max="16384" width="9.140625" style="4"/>
  </cols>
  <sheetData>
    <row r="1" spans="1:15" ht="66" customHeight="1">
      <c r="A1" s="22"/>
      <c r="B1" s="22"/>
      <c r="C1" s="64" t="s">
        <v>28</v>
      </c>
      <c r="D1" s="65" t="s">
        <v>29</v>
      </c>
      <c r="E1" s="65"/>
      <c r="F1" s="22"/>
      <c r="G1" s="22"/>
      <c r="H1" s="22"/>
      <c r="I1" s="22"/>
      <c r="J1" s="22"/>
      <c r="K1" s="22"/>
      <c r="L1" s="22"/>
      <c r="M1" s="73" t="str">
        <f>Planejamento!L3</f>
        <v>PROPLAN</v>
      </c>
      <c r="N1" s="22"/>
    </row>
    <row r="2" spans="1:15" ht="27" customHeight="1">
      <c r="A2" s="22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22"/>
    </row>
    <row r="3" spans="1:15" ht="24.75" customHeight="1">
      <c r="A3" s="22"/>
      <c r="B3" s="147" t="s">
        <v>158</v>
      </c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22"/>
    </row>
    <row r="4" spans="1:15" ht="45.75" customHeight="1">
      <c r="A4" s="22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22"/>
    </row>
    <row r="5" spans="1:15" ht="35.1" customHeight="1">
      <c r="A5" s="22"/>
      <c r="B5" s="108" t="e">
        <f>C7/C6</f>
        <v>#DIV/0!</v>
      </c>
      <c r="C5" s="84" t="s">
        <v>12</v>
      </c>
      <c r="D5" s="71"/>
      <c r="E5" s="71"/>
      <c r="F5" s="110"/>
      <c r="G5" s="111"/>
      <c r="H5" s="118"/>
      <c r="I5" s="110"/>
      <c r="J5" s="109"/>
      <c r="K5" s="22"/>
      <c r="L5" s="108" t="e">
        <f>M7/M6</f>
        <v>#DIV/0!</v>
      </c>
      <c r="M5" s="84" t="s">
        <v>14</v>
      </c>
      <c r="N5" s="22"/>
      <c r="O5" s="85"/>
    </row>
    <row r="6" spans="1:15" ht="20.100000000000001" customHeight="1">
      <c r="A6" s="22"/>
      <c r="B6" s="27" t="s">
        <v>13</v>
      </c>
      <c r="C6" s="28">
        <f>SUMIF(Distribuição[categoria econômica],"custeio",Distribuição[crédito])</f>
        <v>0</v>
      </c>
      <c r="D6" s="71"/>
      <c r="E6" s="71"/>
      <c r="F6" s="110"/>
      <c r="G6" s="110"/>
      <c r="H6" s="118"/>
      <c r="I6" s="110"/>
      <c r="J6" s="112"/>
      <c r="K6" s="22"/>
      <c r="L6" s="27" t="s">
        <v>13</v>
      </c>
      <c r="M6" s="28">
        <f>SUMIF(Distribuição[categoria econômica],"capital",Distribuição[crédito])</f>
        <v>0</v>
      </c>
      <c r="N6" s="22"/>
    </row>
    <row r="7" spans="1:15" ht="20.100000000000001" customHeight="1" thickBot="1">
      <c r="A7" s="22"/>
      <c r="B7" s="27" t="s">
        <v>43</v>
      </c>
      <c r="C7" s="28">
        <f>SUM(SUMIFS(controle[Custo Total],controle[categoria],"custeio",controle[Status],{"empenhado";"pago"}))</f>
        <v>0</v>
      </c>
      <c r="D7" s="71"/>
      <c r="E7" s="71"/>
      <c r="F7" s="110"/>
      <c r="G7" s="110"/>
      <c r="H7" s="118"/>
      <c r="I7" s="110"/>
      <c r="J7" s="109"/>
      <c r="K7" s="22"/>
      <c r="L7" s="27" t="s">
        <v>43</v>
      </c>
      <c r="M7" s="28">
        <f>SUM(SUMIFS(controle[Custo Total],controle[categoria],"capital",controle[Status],{"empenhado";"pago"}))</f>
        <v>0</v>
      </c>
      <c r="N7" s="22"/>
    </row>
    <row r="8" spans="1:15" ht="20.100000000000001" customHeight="1" thickTop="1">
      <c r="A8" s="22"/>
      <c r="B8" s="29" t="s">
        <v>11</v>
      </c>
      <c r="C8" s="30">
        <f>C6-C7</f>
        <v>0</v>
      </c>
      <c r="D8" s="71"/>
      <c r="E8" s="71"/>
      <c r="F8" s="86"/>
      <c r="G8" s="86"/>
      <c r="H8" s="119"/>
      <c r="I8" s="86"/>
      <c r="J8" s="112"/>
      <c r="K8" s="22"/>
      <c r="L8" s="29" t="s">
        <v>11</v>
      </c>
      <c r="M8" s="30">
        <f>M6-M7</f>
        <v>0</v>
      </c>
      <c r="N8" s="22"/>
    </row>
    <row r="9" spans="1:15" ht="20.100000000000001" customHeight="1">
      <c r="A9" s="22"/>
      <c r="B9" s="31" t="s">
        <v>51</v>
      </c>
      <c r="C9" s="32">
        <f>SUMIFS(controle[Custo Total],controle[categoria],"custeio",controle[Status],"planejado")</f>
        <v>0</v>
      </c>
      <c r="D9" s="71"/>
      <c r="E9" s="71"/>
      <c r="F9" s="86"/>
      <c r="G9" s="86"/>
      <c r="H9" s="119"/>
      <c r="I9" s="86"/>
      <c r="J9" s="112"/>
      <c r="K9" s="22"/>
      <c r="L9" s="31" t="s">
        <v>51</v>
      </c>
      <c r="M9" s="32">
        <f>SUMIFS(controle[Custo Total],controle[categoria],"capital",controle[Status],"planejado")</f>
        <v>0</v>
      </c>
      <c r="N9" s="22"/>
    </row>
    <row r="10" spans="1:15" ht="20.100000000000001" customHeight="1">
      <c r="A10" s="22"/>
      <c r="B10" s="33" t="s">
        <v>11</v>
      </c>
      <c r="C10" s="34">
        <f>C8-C9</f>
        <v>0</v>
      </c>
      <c r="D10" s="71"/>
      <c r="E10" s="71"/>
      <c r="F10" s="86"/>
      <c r="G10" s="86"/>
      <c r="H10" s="119"/>
      <c r="I10" s="86"/>
      <c r="J10" s="112"/>
      <c r="K10" s="22"/>
      <c r="L10" s="33" t="s">
        <v>11</v>
      </c>
      <c r="M10" s="34">
        <f>M8-M9</f>
        <v>0</v>
      </c>
      <c r="N10" s="22"/>
    </row>
    <row r="11" spans="1:15" ht="13.5" customHeight="1">
      <c r="A11" s="22"/>
      <c r="B11" s="47"/>
      <c r="C11" s="48"/>
      <c r="D11" s="49"/>
      <c r="E11" s="49"/>
      <c r="F11" s="80"/>
      <c r="G11" s="80"/>
      <c r="H11" s="102"/>
      <c r="I11" s="80"/>
      <c r="J11" s="113"/>
      <c r="K11" s="50"/>
      <c r="L11" s="50"/>
      <c r="M11" s="50"/>
      <c r="N11" s="22"/>
    </row>
    <row r="12" spans="1:15" ht="13.5" customHeight="1">
      <c r="D12" s="71"/>
      <c r="E12" s="89"/>
      <c r="J12" s="68"/>
    </row>
    <row r="13" spans="1:15" ht="15" customHeight="1">
      <c r="B13" s="87" t="s">
        <v>149</v>
      </c>
      <c r="D13" s="71"/>
      <c r="E13" s="86"/>
      <c r="J13" s="68"/>
      <c r="L13" s="87" t="s">
        <v>157</v>
      </c>
    </row>
    <row r="14" spans="1:15" ht="15" customHeight="1">
      <c r="B14" s="91" t="s">
        <v>156</v>
      </c>
      <c r="C14" s="94">
        <f>VLOOKUP("Diárias",Distribuição[],4,FALSE)</f>
        <v>0</v>
      </c>
      <c r="D14" s="71"/>
      <c r="E14" s="86"/>
      <c r="F14" s="106" t="e">
        <f>C17/C14</f>
        <v>#DIV/0!</v>
      </c>
      <c r="J14" s="68"/>
      <c r="L14" s="91" t="s">
        <v>150</v>
      </c>
      <c r="M14" s="97">
        <f>VLOOKUP("Material Permanente",Distribuição[],4,FALSE)</f>
        <v>0</v>
      </c>
    </row>
    <row r="15" spans="1:15" ht="15" customHeight="1">
      <c r="B15" s="91" t="str">
        <f>"itens inseridos: "&amp; COUNTIF(controle[classificação],"Diárias") &amp; " --- total: "</f>
        <v xml:space="preserve">itens inseridos: 1 --- total: </v>
      </c>
      <c r="C15" s="94">
        <f>SUMIF(controle[classificação],"Diárias",controle[Custo Total])</f>
        <v>0</v>
      </c>
      <c r="D15" s="71"/>
      <c r="E15" s="86"/>
      <c r="J15" s="68"/>
      <c r="L15" s="91" t="str">
        <f>"itens inseridos: "&amp; COUNTIF(controle[classificação],"Material Permanente") &amp; " --- total: "</f>
        <v xml:space="preserve">itens inseridos: 0 --- total: </v>
      </c>
      <c r="M15" s="97">
        <f>SUMIF(controle[classificação],"Material Permanente",controle[Custo Total])</f>
        <v>0</v>
      </c>
    </row>
    <row r="16" spans="1:15" ht="15" customHeight="1">
      <c r="B16" s="91" t="str">
        <f>"itens cancelados: " &amp; COUNTIFS(controle[classificação],"Diárias",controle[Status],"Cancelado") &amp; " --- total: "</f>
        <v xml:space="preserve">itens cancelados: 0 --- total: </v>
      </c>
      <c r="C16" s="94">
        <f>SUMIFS(controle[Custo Total],controle[classificação],"Diárias",controle[Status],"Cancelado")</f>
        <v>0</v>
      </c>
      <c r="D16" s="71"/>
      <c r="E16" s="86"/>
      <c r="J16" s="68"/>
      <c r="L16" s="91" t="str">
        <f>"itens cancelados: " &amp; COUNTIFS(controle[classificação],"Material Permanente",controle[Status],"Cancelado") &amp; " --- total: "</f>
        <v xml:space="preserve">itens cancelados: 0 --- total: </v>
      </c>
      <c r="M16" s="97">
        <f>SUMIFS(controle[Custo Total],controle[classificação],"Material Permanente",controle[Status],"Cancelado")</f>
        <v>0</v>
      </c>
    </row>
    <row r="17" spans="2:15" ht="15" customHeight="1">
      <c r="B17" s="91" t="str">
        <f>"itens executados: " &amp; SUM(COUNTIFS(controle[classificação],"Diárias",controle[Status],{"Empenhado";"Pago"}))&amp; " --- total: "</f>
        <v xml:space="preserve">itens executados: 0 --- total: </v>
      </c>
      <c r="C17" s="94">
        <f>SUM(SUMIFS(controle[Custo Total],controle[classificação],"Diárias",controle[Status],{"Empenhado";"Pago"}))</f>
        <v>0</v>
      </c>
      <c r="D17" s="71"/>
      <c r="E17" s="86"/>
      <c r="J17" s="68"/>
      <c r="L17" s="91" t="str">
        <f>"itens executados: " &amp; SUM(COUNTIFS(controle[classificação],"Material Permanente",controle[Status],{"Empenhado";"Pago"}))&amp; " --- total: "</f>
        <v xml:space="preserve">itens executados: 0 --- total: </v>
      </c>
      <c r="M17" s="97">
        <f>SUM(SUMIFS(controle[Custo Total],controle[classificação],"Material Permanente",controle[Status],{"Empenhado";"Pago"}))</f>
        <v>0</v>
      </c>
    </row>
    <row r="18" spans="2:15" ht="15" customHeight="1">
      <c r="B18" s="91" t="str">
        <f>"itens pendentes: " &amp; COUNTIFS(controle[classificação],"Diárias",controle[Status],"Pendente") &amp; " --- total: "</f>
        <v xml:space="preserve">itens pendentes: 0 --- total: </v>
      </c>
      <c r="C18" s="94">
        <f>SUMIFS(controle[Custo Total],controle[classificação],"Diárias",controle[Status],"Pentente")</f>
        <v>0</v>
      </c>
      <c r="D18" s="71"/>
      <c r="E18" s="86"/>
      <c r="F18" s="107" t="e">
        <f>C20/C14</f>
        <v>#DIV/0!</v>
      </c>
      <c r="J18" s="68"/>
      <c r="L18" s="91" t="str">
        <f>"itens pendentes: " &amp; COUNTIFS(controle[classificação],"Material Permanente",controle[Status],"Pendente") &amp; " --- total: "</f>
        <v xml:space="preserve">itens pendentes: 0 --- total: </v>
      </c>
      <c r="M18" s="97">
        <f>SUMIFS(controle[Custo Total],controle[classificação],"Material Permanente",controle[Status],"Pentente")</f>
        <v>0</v>
      </c>
    </row>
    <row r="19" spans="2:15" ht="15" customHeight="1">
      <c r="B19" s="92" t="str">
        <f>"itens planejados: " &amp; COUNTIFS(controle[classificação],"Diárias",controle[Status],"Planejado") &amp; " --- total: "</f>
        <v xml:space="preserve">itens planejados: 1 --- total: </v>
      </c>
      <c r="C19" s="96">
        <f>SUMIFS(controle[Custo Total],controle[classificação],"Diárias",controle[Status],"Planejado")</f>
        <v>0</v>
      </c>
      <c r="D19" s="71"/>
      <c r="E19" s="86"/>
      <c r="J19" s="68"/>
      <c r="L19" s="92" t="str">
        <f>"itens planejados: " &amp; COUNTIFS(controle[classificação],"Material Permanente",controle[Status],"Planejado") &amp; " --- total: "</f>
        <v xml:space="preserve">itens planejados: 0 --- total: </v>
      </c>
      <c r="M19" s="101">
        <f>SUMIFS(controle[Custo Total],controle[classificação],"Material Permanente",controle[Status],"Planejado")</f>
        <v>0</v>
      </c>
    </row>
    <row r="20" spans="2:15" s="90" customFormat="1" ht="20.100000000000001" customHeight="1">
      <c r="B20" s="93" t="s">
        <v>11</v>
      </c>
      <c r="C20" s="95">
        <f>VLOOKUP("Diárias",Distribuição[],4,FALSE)-SUM(SUMIFS(controle[Custo Total],controle[classificação],"Diárias",controle[Status],{"Empenhado";"Pago";"Planejado"}))</f>
        <v>0</v>
      </c>
      <c r="D20" s="105"/>
      <c r="E20" s="121"/>
      <c r="J20" s="100"/>
      <c r="K20" s="115"/>
      <c r="L20" s="116" t="s">
        <v>11</v>
      </c>
      <c r="M20" s="117">
        <f>VLOOKUP("Material Permanente",Distribuição[],4,FALSE)-SUM(SUMIFS(controle[Custo Total],controle[classificação],"Material Permanente",controle[Status],{"Empenhado";"Pago";"Planejado"}))</f>
        <v>0</v>
      </c>
      <c r="N20" s="123"/>
    </row>
    <row r="21" spans="2:15" ht="30" customHeight="1">
      <c r="B21" s="88" t="s">
        <v>151</v>
      </c>
      <c r="C21" s="89"/>
      <c r="D21" s="71"/>
      <c r="E21" s="89"/>
      <c r="F21" s="89"/>
      <c r="G21" s="89"/>
      <c r="H21" s="89"/>
      <c r="I21" s="89"/>
      <c r="J21" s="70"/>
      <c r="L21" s="87"/>
      <c r="N21" s="86"/>
    </row>
    <row r="22" spans="2:15" ht="15" customHeight="1">
      <c r="B22" s="91" t="s">
        <v>150</v>
      </c>
      <c r="C22" s="97">
        <f>VLOOKUP("Material de Consumo",Distribuição[],4,FALSE)</f>
        <v>0</v>
      </c>
      <c r="D22" s="71"/>
      <c r="E22" s="86"/>
      <c r="F22" s="106" t="e">
        <f>C25/C22</f>
        <v>#DIV/0!</v>
      </c>
      <c r="J22" s="68"/>
      <c r="N22" s="86"/>
    </row>
    <row r="23" spans="2:15" ht="15" customHeight="1">
      <c r="B23" s="91" t="str">
        <f>"itens inseridos: "&amp; COUNTIF(controle[classificação],"Material de Consumo") &amp; " --- total: "</f>
        <v xml:space="preserve">itens inseridos: 1 --- total: </v>
      </c>
      <c r="C23" s="97">
        <f>SUMIF(controle[classificação],"Material de Consumo",controle[Custo Total])</f>
        <v>0</v>
      </c>
      <c r="D23" s="71"/>
      <c r="E23" s="86"/>
      <c r="J23" s="68"/>
      <c r="M23" s="106" t="e">
        <f>M17/M14</f>
        <v>#DIV/0!</v>
      </c>
      <c r="N23" s="86"/>
    </row>
    <row r="24" spans="2:15" ht="15" customHeight="1">
      <c r="B24" s="91" t="str">
        <f>"itens cancelados: " &amp; COUNTIFS(controle[classificação],"Material de Consumo",controle[Status],"Cancelado") &amp; " --- total: "</f>
        <v xml:space="preserve">itens cancelados: 0 --- total: </v>
      </c>
      <c r="C24" s="97">
        <f>SUMIFS(controle[Custo Total],controle[classificação],"Material de Consumo",controle[Status],"Cancelado")</f>
        <v>0</v>
      </c>
      <c r="D24" s="71"/>
      <c r="E24" s="86"/>
      <c r="J24" s="68"/>
      <c r="M24" s="107"/>
      <c r="N24" s="86"/>
    </row>
    <row r="25" spans="2:15" ht="15" customHeight="1">
      <c r="B25" s="91" t="str">
        <f>"itens executados: " &amp; SUM(COUNTIFS(controle[classificação],"Material de Consumo",controle[Status],{"Empenhado";"Pago"}))&amp; " --- total: "</f>
        <v xml:space="preserve">itens executados: 0 --- total: </v>
      </c>
      <c r="C25" s="97">
        <f>SUM(SUMIFS(controle[Custo Total],controle[classificação],"Material de Consumo",controle[Status],{"Empenhado";"Pago"}))</f>
        <v>0</v>
      </c>
      <c r="D25" s="71"/>
      <c r="E25" s="86"/>
      <c r="J25" s="68"/>
      <c r="M25" s="107"/>
      <c r="N25" s="86"/>
    </row>
    <row r="26" spans="2:15" ht="15" customHeight="1">
      <c r="B26" s="91" t="str">
        <f>"itens pendentes: " &amp; COUNTIFS(controle[classificação],"Material de Consumo",controle[Status],"Pendente") &amp; " --- total: "</f>
        <v xml:space="preserve">itens pendentes: 0 --- total: </v>
      </c>
      <c r="C26" s="97">
        <f>SUMIFS(controle[Custo Total],controle[classificação],"Material de Consumo",controle[Status],"Pentente")</f>
        <v>0</v>
      </c>
      <c r="D26" s="71"/>
      <c r="E26" s="86"/>
      <c r="J26" s="68"/>
      <c r="M26" s="107"/>
      <c r="N26" s="86"/>
    </row>
    <row r="27" spans="2:15" ht="15" customHeight="1">
      <c r="B27" s="91" t="str">
        <f>"itens planejados: " &amp; COUNTIFS(controle[classificação],"Material de Consumo",controle[Status],"Planejado") &amp; " --- total: "</f>
        <v xml:space="preserve">itens planejados: 1 --- total: </v>
      </c>
      <c r="C27" s="97">
        <f>SUMIFS(controle[Custo Total],controle[classificação],"Material de Consumo",controle[Status],"Planejado")</f>
        <v>0</v>
      </c>
      <c r="D27" s="71"/>
      <c r="E27" s="86"/>
      <c r="F27" s="107" t="e">
        <f>C28/C22</f>
        <v>#DIV/0!</v>
      </c>
      <c r="J27" s="68"/>
      <c r="L27" s="86"/>
      <c r="M27" s="122" t="e">
        <f>M20/M14</f>
        <v>#DIV/0!</v>
      </c>
      <c r="N27" s="86"/>
    </row>
    <row r="28" spans="2:15" ht="20.100000000000001" customHeight="1">
      <c r="B28" s="99" t="s">
        <v>11</v>
      </c>
      <c r="C28" s="98">
        <f>VLOOKUP("Material de Consumo",Distribuição[],4,FALSE)-SUM(SUMIFS(controle[Custo Total],controle[classificação],"Material de Consumo",controle[Status],{"Empenhado";"Pago";"Planejado"}))</f>
        <v>0</v>
      </c>
      <c r="D28" s="71"/>
      <c r="E28" s="80"/>
      <c r="F28" s="80"/>
      <c r="G28" s="80"/>
      <c r="H28" s="80"/>
      <c r="I28" s="80"/>
      <c r="J28" s="69"/>
      <c r="K28" s="102"/>
      <c r="L28" s="80"/>
      <c r="M28" s="80"/>
      <c r="N28" s="80"/>
    </row>
    <row r="29" spans="2:15" ht="30" customHeight="1">
      <c r="B29" s="88" t="s">
        <v>152</v>
      </c>
      <c r="C29" s="89"/>
      <c r="D29" s="104"/>
      <c r="E29" s="86"/>
      <c r="J29" s="68"/>
      <c r="L29" s="148"/>
      <c r="M29" s="148"/>
      <c r="N29" s="148"/>
      <c r="O29" s="148"/>
    </row>
    <row r="30" spans="2:15" ht="15" customHeight="1">
      <c r="B30" s="91" t="s">
        <v>150</v>
      </c>
      <c r="C30" s="97">
        <f>VLOOKUP("Passagens",Distribuição[],4,FALSE)</f>
        <v>0</v>
      </c>
      <c r="D30" s="71"/>
      <c r="E30" s="86"/>
      <c r="F30" s="106" t="e">
        <f>C33/C30</f>
        <v>#DIV/0!</v>
      </c>
      <c r="J30" s="68"/>
      <c r="L30" s="148"/>
      <c r="M30" s="148"/>
      <c r="N30" s="148"/>
      <c r="O30" s="148"/>
    </row>
    <row r="31" spans="2:15" ht="15" customHeight="1">
      <c r="B31" s="91" t="str">
        <f>"itens inseridos: "&amp; COUNTIF(controle[classificação],"Passagens") &amp; " --- total: "</f>
        <v xml:space="preserve">itens inseridos: 0 --- total: </v>
      </c>
      <c r="C31" s="97">
        <f>SUMIF(controle[classificação],"Passagens",controle[Custo Total])</f>
        <v>0</v>
      </c>
      <c r="D31" s="71"/>
      <c r="E31" s="86"/>
      <c r="J31" s="68"/>
      <c r="L31" s="148"/>
      <c r="M31" s="148"/>
      <c r="N31" s="148"/>
      <c r="O31" s="148"/>
    </row>
    <row r="32" spans="2:15" ht="15" customHeight="1">
      <c r="B32" s="91" t="str">
        <f>"itens cancelados: " &amp; COUNTIFS(controle[classificação],"Passagens",controle[Status],"Cancelado") &amp; " --- total: "</f>
        <v xml:space="preserve">itens cancelados: 0 --- total: </v>
      </c>
      <c r="C32" s="97">
        <f>SUMIFS(controle[Custo Total],controle[classificação],"Passagens",controle[Status],"Cancelado")</f>
        <v>0</v>
      </c>
      <c r="D32" s="71"/>
      <c r="E32" s="86"/>
      <c r="J32" s="68"/>
      <c r="L32" s="148"/>
      <c r="M32" s="148"/>
      <c r="N32" s="148"/>
      <c r="O32" s="148"/>
    </row>
    <row r="33" spans="2:16" ht="15" customHeight="1">
      <c r="B33" s="91" t="str">
        <f>"itens executados: " &amp; SUM(COUNTIFS(controle[classificação],"Passagens",controle[Status],{"Empenhado";"Pago"}))&amp; " --- total: "</f>
        <v xml:space="preserve">itens executados: 0 --- total: </v>
      </c>
      <c r="C33" s="97">
        <f>SUM(SUMIFS(controle[Custo Total],controle[classificação],"Passagens",controle[Status],{"Empenhado";"Pago"}))</f>
        <v>0</v>
      </c>
      <c r="D33" s="71"/>
      <c r="E33" s="86"/>
      <c r="J33" s="68"/>
      <c r="L33" s="86"/>
      <c r="M33" s="86"/>
      <c r="N33" s="86"/>
      <c r="O33" s="86"/>
      <c r="P33"/>
    </row>
    <row r="34" spans="2:16" ht="15" customHeight="1">
      <c r="B34" s="91" t="str">
        <f>"itens pendentes: " &amp; COUNTIFS(controle[classificação],"Passagens",controle[Status],"Pendente") &amp; " --- total: "</f>
        <v xml:space="preserve">itens pendentes: 0 --- total: </v>
      </c>
      <c r="C34" s="97">
        <f>SUMIFS(controle[Custo Total],controle[classificação],"Passagens",controle[Status],"Pentente")</f>
        <v>0</v>
      </c>
      <c r="D34" s="71"/>
      <c r="E34" s="86"/>
      <c r="J34" s="68"/>
    </row>
    <row r="35" spans="2:16" ht="15" customHeight="1">
      <c r="B35" s="92" t="str">
        <f>"itens planejados: " &amp; COUNTIFS(controle[classificação],"Passagens",controle[Status],"Planejado") &amp; " --- total: "</f>
        <v xml:space="preserve">itens planejados: 0 --- total: </v>
      </c>
      <c r="C35" s="101">
        <f>SUMIFS(controle[Custo Total],controle[classificação],"Passagens",controle[Status],"Planejado")</f>
        <v>0</v>
      </c>
      <c r="D35" s="71"/>
      <c r="E35" s="86"/>
      <c r="F35" s="106" t="e">
        <f>C36/C30</f>
        <v>#DIV/0!</v>
      </c>
      <c r="J35" s="68"/>
    </row>
    <row r="36" spans="2:16" ht="20.100000000000001" customHeight="1">
      <c r="B36" s="134" t="s">
        <v>11</v>
      </c>
      <c r="C36" s="103">
        <f>VLOOKUP("Passagens",Distribuição[],4,FALSE)-SUM(SUMIFS(controle[Custo Total],controle[classificação],"Passagens",controle[Status],{"Empenhado";"Pago";"Planejado"}))</f>
        <v>0</v>
      </c>
      <c r="D36" s="49"/>
      <c r="E36" s="80"/>
      <c r="F36" s="80"/>
      <c r="G36" s="80"/>
      <c r="H36" s="80"/>
      <c r="I36" s="80"/>
      <c r="J36" s="69"/>
    </row>
    <row r="37" spans="2:16" ht="30" customHeight="1">
      <c r="B37" s="87" t="s">
        <v>153</v>
      </c>
      <c r="D37" s="71"/>
      <c r="E37" s="86"/>
      <c r="J37" s="68"/>
    </row>
    <row r="38" spans="2:16" ht="15" customHeight="1">
      <c r="B38" s="91" t="s">
        <v>150</v>
      </c>
      <c r="C38" s="97">
        <f>VLOOKUP("Serviços Pessoa Física",Distribuição[],4,FALSE)</f>
        <v>0</v>
      </c>
      <c r="D38" s="71"/>
      <c r="E38" s="86"/>
      <c r="F38" s="106" t="e">
        <f>C41/C38</f>
        <v>#DIV/0!</v>
      </c>
      <c r="J38" s="68"/>
    </row>
    <row r="39" spans="2:16" ht="15" customHeight="1">
      <c r="B39" s="91" t="str">
        <f>"itens inseridos: "&amp; COUNTIF(controle[classificação],"Serviços Pessoa Física") &amp; " --- total: "</f>
        <v xml:space="preserve">itens inseridos: 0 --- total: </v>
      </c>
      <c r="C39" s="97">
        <f>SUMIF(controle[classificação],"Serviços Pessoa Física",controle[Custo Total])</f>
        <v>0</v>
      </c>
      <c r="D39" s="71"/>
      <c r="E39" s="86"/>
      <c r="J39" s="68"/>
    </row>
    <row r="40" spans="2:16" ht="15" customHeight="1">
      <c r="B40" s="91" t="str">
        <f>"itens cancelados: " &amp; COUNTIFS(controle[classificação],"Serviços Pessoa Física",controle[Status],"Cancelado") &amp; " --- total: "</f>
        <v xml:space="preserve">itens cancelados: 0 --- total: </v>
      </c>
      <c r="C40" s="97">
        <f>SUMIFS(controle[Custo Total],controle[classificação],"Serviços Pessoa Física",controle[Status],"Cancelado")</f>
        <v>0</v>
      </c>
      <c r="D40" s="71"/>
      <c r="E40" s="86"/>
      <c r="J40" s="68"/>
    </row>
    <row r="41" spans="2:16" ht="15" customHeight="1">
      <c r="B41" s="91" t="str">
        <f>"itens executados: " &amp; SUM(COUNTIFS(controle[classificação],"Serviços Pessoa Física",controle[Status],{"Empenhado";"Pago"}))&amp; " --- total: "</f>
        <v xml:space="preserve">itens executados: 0 --- total: </v>
      </c>
      <c r="C41" s="97">
        <f>SUM(SUMIFS(controle[Custo Total],controle[classificação],"Serviços Pessoa Física",controle[Status],{"Empenhado";"Pago"}))</f>
        <v>0</v>
      </c>
      <c r="D41" s="71"/>
      <c r="E41" s="86"/>
      <c r="J41" s="68"/>
    </row>
    <row r="42" spans="2:16" ht="15" customHeight="1">
      <c r="B42" s="91" t="str">
        <f>"itens pendentes: " &amp; COUNTIFS(controle[classificação],"Serviços Pessoa Física",controle[Status],"Pendente") &amp; " --- total: "</f>
        <v xml:space="preserve">itens pendentes: 0 --- total: </v>
      </c>
      <c r="C42" s="97">
        <f>SUMIFS(controle[Custo Total],controle[classificação],"Serviços Pessoa Física",controle[Status],"Pentente")</f>
        <v>0</v>
      </c>
      <c r="D42" s="71"/>
      <c r="E42" s="86"/>
      <c r="J42" s="68"/>
    </row>
    <row r="43" spans="2:16" ht="15" customHeight="1">
      <c r="B43" s="92" t="str">
        <f>"itens planejados: " &amp; COUNTIFS(controle[classificação],"Serviços Pessoa Física",controle[Status],"Planejado") &amp; " --- total: "</f>
        <v xml:space="preserve">itens planejados: 0 --- total: </v>
      </c>
      <c r="C43" s="101">
        <f>SUMIFS(controle[Custo Total],controle[classificação],"Serviços Pessoa Física",controle[Status],"Planejado")</f>
        <v>0</v>
      </c>
      <c r="D43" s="71"/>
      <c r="E43" s="86"/>
      <c r="F43" s="106" t="e">
        <f>C44/C38</f>
        <v>#DIV/0!</v>
      </c>
      <c r="J43" s="68"/>
    </row>
    <row r="44" spans="2:16" ht="20.100000000000001" customHeight="1">
      <c r="B44" s="135" t="s">
        <v>11</v>
      </c>
      <c r="C44" s="77">
        <f>VLOOKUP("Serviços Pessoa Física",Distribuição[],4,FALSE)-SUM(SUMIFS(controle[Custo Total],controle[classificação],"Serviços Pessoa Física",controle[Status],{"Empenhado";"Pago";"Planejado"}))</f>
        <v>0</v>
      </c>
      <c r="D44" s="49"/>
      <c r="E44" s="80"/>
      <c r="F44" s="80"/>
      <c r="G44" s="80"/>
      <c r="H44" s="80"/>
      <c r="I44" s="80"/>
      <c r="J44" s="69"/>
    </row>
    <row r="45" spans="2:16" ht="30" customHeight="1">
      <c r="B45" s="87" t="s">
        <v>154</v>
      </c>
      <c r="D45" s="71"/>
      <c r="E45" s="86"/>
      <c r="J45" s="68"/>
    </row>
    <row r="46" spans="2:16" ht="15" customHeight="1">
      <c r="B46" s="91" t="s">
        <v>150</v>
      </c>
      <c r="C46" s="97">
        <f>VLOOKUP("Serviços Pessoa Jurídica",Distribuição[],4,FALSE)</f>
        <v>0</v>
      </c>
      <c r="D46" s="71"/>
      <c r="E46" s="86"/>
      <c r="F46" s="106" t="e">
        <f>C49/C46</f>
        <v>#DIV/0!</v>
      </c>
      <c r="J46" s="68"/>
    </row>
    <row r="47" spans="2:16" ht="15" customHeight="1">
      <c r="B47" s="91" t="str">
        <f>"itens inseridos: "&amp; COUNTIF(controle[classificação],"Serviços Pessoa Jurídica") &amp; " --- total: "</f>
        <v xml:space="preserve">itens inseridos: 0 --- total: </v>
      </c>
      <c r="C47" s="97">
        <f>SUMIF(controle[classificação],"Serviços Pessoa Jurídica",controle[Custo Total])</f>
        <v>0</v>
      </c>
      <c r="D47" s="71"/>
      <c r="E47" s="86"/>
      <c r="F47" s="107"/>
      <c r="J47" s="68"/>
    </row>
    <row r="48" spans="2:16" ht="15" customHeight="1">
      <c r="B48" s="91" t="str">
        <f>"itens cancelados: " &amp; COUNTIFS(controle[classificação],"Serviços Pessoa Jurídica",controle[Status],"Cancelado") &amp; " --- total: "</f>
        <v xml:space="preserve">itens cancelados: 0 --- total: </v>
      </c>
      <c r="C48" s="97">
        <f>SUMIFS(controle[Custo Total],controle[classificação],"Serviços Pessoa Jurídica",controle[Status],"Cancelado")</f>
        <v>0</v>
      </c>
      <c r="D48" s="71"/>
      <c r="E48" s="86"/>
      <c r="F48" s="107"/>
      <c r="J48" s="68"/>
    </row>
    <row r="49" spans="2:10" ht="15" customHeight="1">
      <c r="B49" s="91" t="str">
        <f>"itens executados: " &amp; SUM(COUNTIFS(controle[classificação],"Serviços Pessoa Jurídica",controle[Status],{"Empenhado";"Pago"}))&amp; " --- total: "</f>
        <v xml:space="preserve">itens executados: 0 --- total: </v>
      </c>
      <c r="C49" s="97">
        <f>SUM(SUMIFS(controle[Custo Total],controle[classificação],"Serviços Pessoa Jurídica",controle[Status],{"Empenhado";"Pago"}))</f>
        <v>0</v>
      </c>
      <c r="D49" s="71"/>
      <c r="E49" s="86"/>
      <c r="F49" s="107"/>
      <c r="J49" s="68"/>
    </row>
    <row r="50" spans="2:10" ht="15" customHeight="1">
      <c r="B50" s="91" t="str">
        <f>"itens pendentes: " &amp; COUNTIFS(controle[classificação],"Serviços Pessoa Jurídica",controle[Status],"Pendente") &amp; " --- total: "</f>
        <v xml:space="preserve">itens pendentes: 0 --- total: </v>
      </c>
      <c r="C50" s="97">
        <f>SUMIFS(controle[Custo Total],controle[classificação],"Serviços Pessoa Jurídica",controle[Status],"Pentente")</f>
        <v>0</v>
      </c>
      <c r="D50" s="71"/>
      <c r="E50" s="86"/>
      <c r="F50" s="107"/>
      <c r="J50" s="68"/>
    </row>
    <row r="51" spans="2:10" ht="15" customHeight="1">
      <c r="B51" s="92" t="str">
        <f>"itens planejados: " &amp; COUNTIFS(controle[classificação],"Serviços Pessoa Jurídica",controle[Status],"Planejado") &amp; " --- total: "</f>
        <v xml:space="preserve">itens planejados: 0 --- total: </v>
      </c>
      <c r="C51" s="101">
        <f>SUMIFS(controle[Custo Total],controle[classificação],"Serviços Pessoa Jurídica",controle[Status],"Planejado")</f>
        <v>0</v>
      </c>
      <c r="D51" s="71"/>
      <c r="E51" s="86"/>
      <c r="F51" s="106" t="e">
        <f>C52/C46</f>
        <v>#DIV/0!</v>
      </c>
      <c r="J51" s="68"/>
    </row>
    <row r="52" spans="2:10" ht="20.100000000000001" customHeight="1">
      <c r="B52" s="135" t="s">
        <v>11</v>
      </c>
      <c r="C52" s="77">
        <f>VLOOKUP("Serviços Pessoa Jurídica",Distribuição[],4,FALSE)-SUM(SUMIFS(controle[Custo Total],controle[classificação],"Serviços Pessoa Jurídica",controle[Status],{"Empenhado";"Pago";"Planejado"}))</f>
        <v>0</v>
      </c>
      <c r="D52" s="49"/>
      <c r="E52" s="80"/>
      <c r="F52" s="120"/>
      <c r="G52" s="80"/>
      <c r="H52" s="80"/>
      <c r="I52" s="80"/>
      <c r="J52" s="69"/>
    </row>
    <row r="53" spans="2:10" ht="30" customHeight="1">
      <c r="B53" s="87" t="s">
        <v>155</v>
      </c>
      <c r="D53" s="71"/>
      <c r="E53" s="86"/>
      <c r="F53" s="107"/>
      <c r="J53" s="68"/>
    </row>
    <row r="54" spans="2:10" ht="15" customHeight="1">
      <c r="B54" s="91" t="s">
        <v>150</v>
      </c>
      <c r="C54" s="97">
        <f>VLOOKUP("Contribuições",Distribuição[],4,FALSE)</f>
        <v>0</v>
      </c>
      <c r="D54" s="71"/>
      <c r="E54" s="86"/>
      <c r="F54" s="106" t="e">
        <f>C57/C54</f>
        <v>#DIV/0!</v>
      </c>
      <c r="J54" s="68"/>
    </row>
    <row r="55" spans="2:10" ht="15" customHeight="1">
      <c r="B55" s="91" t="str">
        <f>"itens inseridos: "&amp; COUNTIF(controle[classificação],"Contribuições") &amp; " --- total: "</f>
        <v xml:space="preserve">itens inseridos: 0 --- total: </v>
      </c>
      <c r="C55" s="97">
        <f>SUMIF(controle[classificação],"Contribuições",controle[Custo Total])</f>
        <v>0</v>
      </c>
      <c r="D55" s="71"/>
      <c r="E55" s="86"/>
      <c r="F55" s="107"/>
      <c r="J55" s="68"/>
    </row>
    <row r="56" spans="2:10" ht="15" customHeight="1">
      <c r="B56" s="91" t="str">
        <f>"itens cancelados: " &amp; COUNTIFS(controle[classificação],"Contribuições",controle[Status],"Cancelado") &amp; " --- total: "</f>
        <v xml:space="preserve">itens cancelados: 0 --- total: </v>
      </c>
      <c r="C56" s="97">
        <f>SUMIFS(controle[Custo Total],controle[classificação],"Contribuições",controle[Status],"Cancelado")</f>
        <v>0</v>
      </c>
      <c r="D56" s="71"/>
      <c r="E56" s="86"/>
      <c r="F56" s="107"/>
      <c r="J56" s="68"/>
    </row>
    <row r="57" spans="2:10" ht="15" customHeight="1">
      <c r="B57" s="91" t="str">
        <f>"itens executados: " &amp; SUM(COUNTIFS(controle[classificação],"Contribuições",controle[Status],{"Empenhado";"Pago"}))&amp; " --- total: "</f>
        <v xml:space="preserve">itens executados: 0 --- total: </v>
      </c>
      <c r="C57" s="97">
        <f>SUM(SUMIFS(controle[Custo Total],controle[classificação],"Contribuições",controle[Status],{"Empenhado";"Pago"}))</f>
        <v>0</v>
      </c>
      <c r="D57" s="71"/>
      <c r="E57" s="86"/>
      <c r="F57" s="107"/>
      <c r="J57" s="68"/>
    </row>
    <row r="58" spans="2:10" ht="15" customHeight="1">
      <c r="B58" s="91" t="str">
        <f>"itens pendentes: " &amp; COUNTIFS(controle[classificação],"Contribuições",controle[Status],"Pendente") &amp; " --- total: "</f>
        <v xml:space="preserve">itens pendentes: 0 --- total: </v>
      </c>
      <c r="C58" s="97">
        <f>SUMIFS(controle[Custo Total],controle[classificação],"Contribuições",controle[Status],"Pentente")</f>
        <v>0</v>
      </c>
      <c r="D58" s="71"/>
      <c r="E58" s="86"/>
      <c r="F58" s="107"/>
      <c r="J58" s="68"/>
    </row>
    <row r="59" spans="2:10" ht="15" customHeight="1">
      <c r="B59" s="92" t="str">
        <f>"itens planejados: " &amp; COUNTIFS(controle[classificação],"Contribuições",controle[Status],"Planejado") &amp; " --- total: "</f>
        <v xml:space="preserve">itens planejados: 0 --- total: </v>
      </c>
      <c r="C59" s="101">
        <f>SUMIFS(controle[Custo Total],controle[classificação],"Contribuições",controle[Status],"Planejado")</f>
        <v>0</v>
      </c>
      <c r="D59" s="71"/>
      <c r="E59" s="86"/>
      <c r="F59" s="106" t="e">
        <f>C60/C54</f>
        <v>#DIV/0!</v>
      </c>
      <c r="J59" s="68"/>
    </row>
    <row r="60" spans="2:10">
      <c r="B60" s="91" t="s">
        <v>11</v>
      </c>
      <c r="C60" s="97">
        <f>VLOOKUP("Contribuições",Distribuição[],4,FALSE)-SUM(SUMIFS(controle[Custo Total],controle[classificação],"Contribuições",controle[Status],{"Empenhado";"Pago";"Planejado"}))</f>
        <v>0</v>
      </c>
      <c r="E60" s="86"/>
      <c r="J60" s="114"/>
    </row>
    <row r="61" spans="2:10">
      <c r="E61" s="86"/>
    </row>
  </sheetData>
  <mergeCells count="5">
    <mergeCell ref="B4:M4"/>
    <mergeCell ref="B2:M2"/>
    <mergeCell ref="B3:M3"/>
    <mergeCell ref="L29:O30"/>
    <mergeCell ref="L31:O32"/>
  </mergeCells>
  <conditionalFormatting sqref="C10:C11">
    <cfRule type="cellIs" dxfId="23" priority="8" operator="lessThan">
      <formula>0</formula>
    </cfRule>
  </conditionalFormatting>
  <conditionalFormatting sqref="C8">
    <cfRule type="cellIs" dxfId="22" priority="6" operator="lessThan">
      <formula>0</formula>
    </cfRule>
  </conditionalFormatting>
  <conditionalFormatting sqref="M10">
    <cfRule type="cellIs" dxfId="21" priority="4" operator="lessThan">
      <formula>0</formula>
    </cfRule>
  </conditionalFormatting>
  <conditionalFormatting sqref="M8">
    <cfRule type="cellIs" dxfId="20" priority="3" operator="lessThan">
      <formula>0</formula>
    </cfRule>
  </conditionalFormatting>
  <conditionalFormatting sqref="C20 C28 C36 C44 C52 C60 M20">
    <cfRule type="cellIs" dxfId="19" priority="2" operator="lessThan">
      <formula>0</formula>
    </cfRule>
  </conditionalFormatting>
  <dataValidations count="9">
    <dataValidation allowBlank="1" showInputMessage="1" showErrorMessage="1" prompt="montante de crédito orçamentário recebido para o atendimento de despesas correntes" sqref="C6"/>
    <dataValidation allowBlank="1" showInputMessage="1" showErrorMessage="1" prompt="somatório dos valores de despesas correntes executadas (empenhadas ou pagas)" sqref="C7"/>
    <dataValidation allowBlank="1" showInputMessage="1" showErrorMessage="1" prompt="saldo disponível em créditos de custeio" sqref="C8"/>
    <dataValidation allowBlank="1" showInputMessage="1" showErrorMessage="1" prompt="somátorio dos valores de despesas correntes planejadas que ainda não foram executadas (empenhadas ou pagas)" sqref="C9"/>
    <dataValidation allowBlank="1" showInputMessage="1" showErrorMessage="1" prompt="saldo disponível para planejamento" sqref="C10 M10"/>
    <dataValidation allowBlank="1" showInputMessage="1" showErrorMessage="1" prompt="montante de crédito orçamentário recebido para o atendimento de despesas de capital" sqref="M6"/>
    <dataValidation allowBlank="1" showInputMessage="1" showErrorMessage="1" prompt="somatório dos valores de despesas de capital executadas (empenhadas ou pagas)" sqref="M7"/>
    <dataValidation allowBlank="1" showInputMessage="1" showErrorMessage="1" prompt="saldo disponível em créditos de capital" sqref="M8"/>
    <dataValidation allowBlank="1" showInputMessage="1" showErrorMessage="1" prompt="somátorio dos valores de despesas de capital planejadas que ainda não foram executadas (empenhadas ou pagas)" sqref="M9"/>
  </dataValidations>
  <pageMargins left="0.23622047244094491" right="0.23622047244094491" top="0.74803149606299213" bottom="0.74803149606299213" header="0.31496062992125984" footer="0.31496062992125984"/>
  <pageSetup paperSize="9" scale="6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33"/>
  <sheetViews>
    <sheetView workbookViewId="0">
      <selection activeCell="C4" sqref="C4"/>
    </sheetView>
  </sheetViews>
  <sheetFormatPr defaultColWidth="9.140625" defaultRowHeight="15"/>
  <cols>
    <col min="1" max="1" width="3" style="4" customWidth="1"/>
    <col min="2" max="2" width="14.7109375" style="4" customWidth="1"/>
    <col min="3" max="3" width="34.5703125" style="4" customWidth="1"/>
    <col min="4" max="4" width="28.28515625" style="4" customWidth="1"/>
    <col min="5" max="5" width="17.140625" style="4" customWidth="1"/>
    <col min="6" max="6" width="15.5703125" style="4" customWidth="1"/>
    <col min="7" max="7" width="17.42578125" style="4" customWidth="1"/>
    <col min="8" max="8" width="2.5703125" style="4" customWidth="1"/>
    <col min="9" max="16384" width="9.140625" style="4"/>
  </cols>
  <sheetData>
    <row r="1" spans="1:7" ht="51" customHeight="1">
      <c r="A1" s="11"/>
      <c r="B1" s="149" t="s">
        <v>132</v>
      </c>
      <c r="C1" s="149"/>
      <c r="D1" s="149"/>
      <c r="E1" s="149"/>
      <c r="F1" s="149"/>
      <c r="G1" s="12"/>
    </row>
    <row r="2" spans="1:7">
      <c r="B2" s="2" t="s">
        <v>48</v>
      </c>
      <c r="C2" s="2" t="s">
        <v>47</v>
      </c>
      <c r="D2" s="2" t="s">
        <v>45</v>
      </c>
      <c r="E2" s="2" t="s">
        <v>46</v>
      </c>
      <c r="F2" s="2" t="s">
        <v>49</v>
      </c>
      <c r="G2" s="2" t="s">
        <v>142</v>
      </c>
    </row>
    <row r="3" spans="1:7">
      <c r="B3" s="2" t="s">
        <v>105</v>
      </c>
      <c r="C3" s="2" t="s">
        <v>159</v>
      </c>
      <c r="D3" s="14"/>
      <c r="E3" s="2"/>
      <c r="F3" s="2"/>
      <c r="G3" s="2"/>
    </row>
    <row r="4" spans="1:7">
      <c r="B4" s="2" t="s">
        <v>84</v>
      </c>
      <c r="C4" s="2" t="s">
        <v>159</v>
      </c>
      <c r="D4" s="14"/>
      <c r="E4" s="2"/>
      <c r="F4" s="2"/>
      <c r="G4" s="2"/>
    </row>
    <row r="5" spans="1:7">
      <c r="B5" s="2" t="s">
        <v>111</v>
      </c>
      <c r="C5" s="2" t="s">
        <v>159</v>
      </c>
      <c r="D5" s="14"/>
      <c r="E5" s="2"/>
      <c r="F5" s="2"/>
      <c r="G5" s="2"/>
    </row>
    <row r="6" spans="1:7">
      <c r="B6" s="2" t="s">
        <v>80</v>
      </c>
      <c r="C6" s="2" t="s">
        <v>159</v>
      </c>
      <c r="D6" s="14"/>
      <c r="E6" s="2"/>
      <c r="F6" s="2"/>
      <c r="G6" s="2"/>
    </row>
    <row r="7" spans="1:7">
      <c r="B7" s="2" t="s">
        <v>70</v>
      </c>
      <c r="C7" s="2" t="s">
        <v>159</v>
      </c>
      <c r="D7" s="14"/>
      <c r="E7" s="2"/>
      <c r="F7" s="2"/>
      <c r="G7" s="2"/>
    </row>
    <row r="8" spans="1:7">
      <c r="B8" s="2" t="s">
        <v>103</v>
      </c>
      <c r="C8" s="2" t="s">
        <v>159</v>
      </c>
      <c r="D8" s="14"/>
      <c r="E8" s="2"/>
      <c r="F8" s="2"/>
      <c r="G8" s="2"/>
    </row>
    <row r="9" spans="1:7">
      <c r="B9" s="2" t="s">
        <v>68</v>
      </c>
      <c r="C9" s="2" t="s">
        <v>159</v>
      </c>
      <c r="D9" s="14"/>
      <c r="E9" s="2"/>
      <c r="F9" s="2"/>
      <c r="G9" s="2"/>
    </row>
    <row r="10" spans="1:7">
      <c r="B10" s="2" t="s">
        <v>113</v>
      </c>
      <c r="C10" s="2" t="s">
        <v>159</v>
      </c>
      <c r="D10" s="14"/>
      <c r="E10" s="2"/>
      <c r="F10" s="2"/>
      <c r="G10" s="2"/>
    </row>
    <row r="11" spans="1:7">
      <c r="B11" s="2" t="s">
        <v>76</v>
      </c>
      <c r="C11" s="2" t="s">
        <v>159</v>
      </c>
      <c r="D11" s="14"/>
      <c r="E11" s="2"/>
      <c r="F11" s="2"/>
      <c r="G11" s="2"/>
    </row>
    <row r="12" spans="1:7">
      <c r="B12" s="2" t="s">
        <v>82</v>
      </c>
      <c r="C12" s="2" t="s">
        <v>159</v>
      </c>
      <c r="D12" s="14"/>
      <c r="E12" s="2"/>
      <c r="F12" s="2"/>
      <c r="G12" s="2"/>
    </row>
    <row r="13" spans="1:7">
      <c r="B13" s="2" t="s">
        <v>66</v>
      </c>
      <c r="C13" s="2" t="s">
        <v>159</v>
      </c>
      <c r="D13" s="14"/>
      <c r="E13" s="2"/>
      <c r="F13" s="2"/>
      <c r="G13" s="2"/>
    </row>
    <row r="14" spans="1:7">
      <c r="B14" s="2" t="s">
        <v>95</v>
      </c>
      <c r="C14" s="2" t="s">
        <v>159</v>
      </c>
      <c r="D14" s="14"/>
      <c r="E14" s="2"/>
      <c r="F14" s="2"/>
      <c r="G14" s="2"/>
    </row>
    <row r="15" spans="1:7">
      <c r="B15" s="2" t="s">
        <v>74</v>
      </c>
      <c r="C15" s="2" t="s">
        <v>159</v>
      </c>
      <c r="D15" s="14"/>
      <c r="E15" s="2"/>
      <c r="F15" s="2"/>
      <c r="G15" s="2"/>
    </row>
    <row r="16" spans="1:7">
      <c r="B16" s="2" t="s">
        <v>93</v>
      </c>
      <c r="C16" s="2" t="s">
        <v>159</v>
      </c>
      <c r="D16" s="14"/>
      <c r="E16" s="2"/>
      <c r="F16" s="2"/>
      <c r="G16" s="2"/>
    </row>
    <row r="17" spans="2:7">
      <c r="B17" s="2" t="s">
        <v>91</v>
      </c>
      <c r="C17" s="2" t="s">
        <v>159</v>
      </c>
      <c r="D17" s="14"/>
      <c r="E17" s="2"/>
      <c r="F17" s="2"/>
      <c r="G17" s="2"/>
    </row>
    <row r="18" spans="2:7">
      <c r="B18" s="2" t="s">
        <v>72</v>
      </c>
      <c r="C18" s="2" t="s">
        <v>159</v>
      </c>
      <c r="D18" s="14"/>
      <c r="E18" s="2"/>
      <c r="F18" s="2"/>
      <c r="G18" s="2"/>
    </row>
    <row r="19" spans="2:7">
      <c r="B19" s="2" t="s">
        <v>87</v>
      </c>
      <c r="C19" s="2" t="s">
        <v>159</v>
      </c>
      <c r="D19" s="14"/>
      <c r="E19" s="2"/>
      <c r="F19" s="2"/>
      <c r="G19" s="2"/>
    </row>
    <row r="20" spans="2:7">
      <c r="B20" s="2" t="s">
        <v>62</v>
      </c>
      <c r="C20" s="2" t="s">
        <v>159</v>
      </c>
      <c r="D20" s="14"/>
      <c r="E20" s="2"/>
      <c r="F20" s="2"/>
      <c r="G20" s="2"/>
    </row>
    <row r="21" spans="2:7">
      <c r="B21" s="2" t="s">
        <v>107</v>
      </c>
      <c r="C21" s="2" t="s">
        <v>159</v>
      </c>
      <c r="D21" s="14"/>
      <c r="E21" s="2"/>
      <c r="F21" s="2"/>
      <c r="G21" s="2"/>
    </row>
    <row r="22" spans="2:7">
      <c r="B22" s="2" t="s">
        <v>109</v>
      </c>
      <c r="C22" s="2" t="s">
        <v>159</v>
      </c>
      <c r="D22" s="14"/>
      <c r="E22" s="2"/>
      <c r="F22" s="2"/>
      <c r="G22" s="2"/>
    </row>
    <row r="23" spans="2:7">
      <c r="B23" s="2" t="s">
        <v>99</v>
      </c>
      <c r="C23" s="2" t="s">
        <v>159</v>
      </c>
      <c r="D23" s="14"/>
      <c r="E23" s="2"/>
      <c r="F23" s="2"/>
      <c r="G23" s="2"/>
    </row>
    <row r="24" spans="2:7">
      <c r="B24" s="2" t="s">
        <v>56</v>
      </c>
      <c r="C24" s="2" t="s">
        <v>159</v>
      </c>
      <c r="D24" s="14"/>
      <c r="E24" s="2"/>
      <c r="F24" s="2"/>
      <c r="G24" s="2"/>
    </row>
    <row r="25" spans="2:7">
      <c r="B25" s="2" t="s">
        <v>89</v>
      </c>
      <c r="C25" s="2" t="s">
        <v>159</v>
      </c>
      <c r="D25" s="14"/>
      <c r="E25" s="2"/>
      <c r="F25" s="2"/>
      <c r="G25" s="2"/>
    </row>
    <row r="26" spans="2:7">
      <c r="B26" s="2" t="s">
        <v>78</v>
      </c>
      <c r="C26" s="2" t="s">
        <v>159</v>
      </c>
      <c r="D26" s="14"/>
      <c r="E26" s="2"/>
      <c r="F26" s="2"/>
      <c r="G26" s="2"/>
    </row>
    <row r="27" spans="2:7">
      <c r="B27" s="2" t="s">
        <v>58</v>
      </c>
      <c r="C27" s="2" t="s">
        <v>159</v>
      </c>
      <c r="D27" s="14"/>
      <c r="E27" s="2"/>
      <c r="F27" s="2"/>
      <c r="G27" s="2"/>
    </row>
    <row r="28" spans="2:7">
      <c r="B28" s="2" t="s">
        <v>97</v>
      </c>
      <c r="C28" s="2" t="s">
        <v>159</v>
      </c>
      <c r="D28" s="14"/>
      <c r="E28" s="2"/>
      <c r="F28" s="2"/>
      <c r="G28" s="2"/>
    </row>
    <row r="29" spans="2:7">
      <c r="B29" s="2" t="s">
        <v>28</v>
      </c>
      <c r="C29" s="2" t="s">
        <v>159</v>
      </c>
      <c r="D29" s="14"/>
      <c r="E29" s="2"/>
      <c r="F29" s="2"/>
      <c r="G29" s="2"/>
    </row>
    <row r="30" spans="2:7">
      <c r="B30" s="2" t="s">
        <v>101</v>
      </c>
      <c r="C30" s="2" t="s">
        <v>159</v>
      </c>
      <c r="D30" s="14"/>
      <c r="E30" s="2"/>
      <c r="F30" s="2"/>
      <c r="G30" s="2"/>
    </row>
    <row r="31" spans="2:7">
      <c r="B31" s="2" t="s">
        <v>60</v>
      </c>
      <c r="C31" s="2" t="s">
        <v>159</v>
      </c>
      <c r="D31" s="14"/>
      <c r="E31" s="2"/>
      <c r="F31" s="2"/>
      <c r="G31" s="2"/>
    </row>
    <row r="32" spans="2:7">
      <c r="B32" s="2" t="s">
        <v>55</v>
      </c>
      <c r="C32" s="2" t="s">
        <v>159</v>
      </c>
      <c r="D32" s="14"/>
      <c r="E32" s="2"/>
      <c r="F32" s="2"/>
      <c r="G32" s="2"/>
    </row>
    <row r="33" spans="2:7">
      <c r="B33" s="2" t="s">
        <v>64</v>
      </c>
      <c r="C33" s="2" t="s">
        <v>159</v>
      </c>
      <c r="D33" s="14"/>
      <c r="E33" s="2"/>
      <c r="F33" s="2"/>
      <c r="G33" s="2"/>
    </row>
  </sheetData>
  <sheetProtection algorithmName="SHA-512" hashValue="H8HfOvW1vEWGt1KcF8TJgHn3teCHzZnWqULF6MD02PbO01II4rEPvmKyBf37qqMxhamtZOUass44iF1pVrAKBQ==" saltValue="JSNInJDkMvlBqOZ2kteOSg==" spinCount="100000" sheet="1" objects="1" scenarios="1"/>
  <mergeCells count="1">
    <mergeCell ref="B1:F1"/>
  </mergeCells>
  <dataValidations xWindow="120" yWindow="301" count="2">
    <dataValidation allowBlank="1" showInputMessage="1" showErrorMessage="1" prompt="Create a list of people to share this workbook with. Enter Name, Email and track sharing in Share List table in this worksheet" sqref="A1"/>
    <dataValidation type="list" allowBlank="1" showInputMessage="1" showErrorMessage="1" sqref="B3:B33">
      <formula1>INDIRECT("Unidades[SIGLA]")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51"/>
  <sheetViews>
    <sheetView workbookViewId="0">
      <selection activeCell="G28" sqref="G28"/>
    </sheetView>
  </sheetViews>
  <sheetFormatPr defaultColWidth="9.140625" defaultRowHeight="15"/>
  <cols>
    <col min="1" max="1" width="27.42578125" style="2" customWidth="1"/>
    <col min="2" max="2" width="15.5703125" style="2" customWidth="1"/>
    <col min="3" max="3" width="6.85546875" style="2" customWidth="1"/>
    <col min="4" max="4" width="11" style="2" customWidth="1"/>
    <col min="5" max="5" width="9.28515625" style="2" customWidth="1"/>
    <col min="6" max="6" width="10.7109375" style="2" bestFit="1" customWidth="1"/>
    <col min="7" max="7" width="20" style="2" bestFit="1" customWidth="1"/>
    <col min="8" max="9" width="9.140625" style="2"/>
    <col min="10" max="10" width="7.28515625" style="2" bestFit="1" customWidth="1"/>
    <col min="11" max="11" width="56" style="2" bestFit="1" customWidth="1"/>
    <col min="12" max="16384" width="9.140625" style="2"/>
  </cols>
  <sheetData>
    <row r="1" spans="1:11" ht="15.75" thickBot="1">
      <c r="A1" s="5" t="s">
        <v>27</v>
      </c>
      <c r="D1" s="2" t="s">
        <v>30</v>
      </c>
      <c r="G1" s="2" t="s">
        <v>33</v>
      </c>
      <c r="I1" s="40" t="s">
        <v>53</v>
      </c>
      <c r="J1" s="13" t="s">
        <v>52</v>
      </c>
      <c r="K1" t="s">
        <v>54</v>
      </c>
    </row>
    <row r="2" spans="1:11" ht="15.75" thickTop="1">
      <c r="A2" s="2" t="s">
        <v>15</v>
      </c>
      <c r="D2" s="2" t="s">
        <v>9</v>
      </c>
      <c r="G2" s="2" t="s">
        <v>31</v>
      </c>
      <c r="I2" s="41" t="s">
        <v>105</v>
      </c>
      <c r="J2" s="13">
        <v>150902</v>
      </c>
      <c r="K2" t="s">
        <v>106</v>
      </c>
    </row>
    <row r="3" spans="1:11">
      <c r="A3" s="2" t="s">
        <v>16</v>
      </c>
      <c r="D3" s="2" t="s">
        <v>34</v>
      </c>
      <c r="G3" s="2" t="s">
        <v>32</v>
      </c>
      <c r="I3" s="42" t="s">
        <v>84</v>
      </c>
      <c r="J3" s="13">
        <v>150904</v>
      </c>
      <c r="K3" t="s">
        <v>85</v>
      </c>
    </row>
    <row r="4" spans="1:11">
      <c r="A4" s="2" t="s">
        <v>17</v>
      </c>
      <c r="D4" s="2" t="s">
        <v>35</v>
      </c>
      <c r="I4" s="41" t="s">
        <v>111</v>
      </c>
      <c r="J4" s="13">
        <v>150905</v>
      </c>
      <c r="K4" t="s">
        <v>112</v>
      </c>
    </row>
    <row r="5" spans="1:11">
      <c r="A5" s="2" t="s">
        <v>18</v>
      </c>
      <c r="D5" s="2" t="s">
        <v>36</v>
      </c>
      <c r="I5" s="42" t="s">
        <v>80</v>
      </c>
      <c r="J5" s="13">
        <v>150659</v>
      </c>
      <c r="K5" t="s">
        <v>81</v>
      </c>
    </row>
    <row r="6" spans="1:11">
      <c r="A6" s="2" t="s">
        <v>19</v>
      </c>
      <c r="D6" s="2" t="s">
        <v>37</v>
      </c>
      <c r="I6" s="41" t="s">
        <v>70</v>
      </c>
      <c r="J6" s="13">
        <v>150654</v>
      </c>
      <c r="K6" t="s">
        <v>71</v>
      </c>
    </row>
    <row r="7" spans="1:11">
      <c r="A7" s="2" t="s">
        <v>20</v>
      </c>
      <c r="I7" s="42" t="s">
        <v>103</v>
      </c>
      <c r="J7" s="13">
        <v>150901</v>
      </c>
      <c r="K7" t="s">
        <v>104</v>
      </c>
    </row>
    <row r="8" spans="1:11">
      <c r="A8" s="2" t="s">
        <v>21</v>
      </c>
      <c r="I8" s="41" t="s">
        <v>68</v>
      </c>
      <c r="J8" s="13">
        <v>150653</v>
      </c>
      <c r="K8" t="s">
        <v>69</v>
      </c>
    </row>
    <row r="9" spans="1:11">
      <c r="A9" s="2" t="s">
        <v>22</v>
      </c>
      <c r="I9" s="42" t="s">
        <v>113</v>
      </c>
      <c r="J9" s="13">
        <v>150906</v>
      </c>
      <c r="K9" t="s">
        <v>114</v>
      </c>
    </row>
    <row r="10" spans="1:11">
      <c r="A10" s="2" t="s">
        <v>23</v>
      </c>
      <c r="I10" s="41" t="s">
        <v>76</v>
      </c>
      <c r="J10" s="13">
        <v>150657</v>
      </c>
      <c r="K10" t="s">
        <v>77</v>
      </c>
    </row>
    <row r="11" spans="1:11">
      <c r="A11" s="2" t="s">
        <v>24</v>
      </c>
      <c r="I11" s="42" t="s">
        <v>82</v>
      </c>
      <c r="J11" s="13">
        <v>150660</v>
      </c>
      <c r="K11" t="s">
        <v>83</v>
      </c>
    </row>
    <row r="12" spans="1:11">
      <c r="A12" s="2" t="s">
        <v>25</v>
      </c>
      <c r="I12" s="41" t="s">
        <v>66</v>
      </c>
      <c r="J12" s="13">
        <v>150652</v>
      </c>
      <c r="K12" t="s">
        <v>67</v>
      </c>
    </row>
    <row r="13" spans="1:11">
      <c r="A13" s="2" t="s">
        <v>26</v>
      </c>
      <c r="I13" s="42" t="s">
        <v>95</v>
      </c>
      <c r="J13" s="13">
        <v>152645</v>
      </c>
      <c r="K13" t="s">
        <v>96</v>
      </c>
    </row>
    <row r="14" spans="1:11">
      <c r="I14" s="41" t="s">
        <v>74</v>
      </c>
      <c r="J14" s="13">
        <v>150656</v>
      </c>
      <c r="K14" t="s">
        <v>75</v>
      </c>
    </row>
    <row r="15" spans="1:11">
      <c r="I15" s="42" t="s">
        <v>93</v>
      </c>
      <c r="J15" s="13">
        <v>152644</v>
      </c>
      <c r="K15" t="s">
        <v>94</v>
      </c>
    </row>
    <row r="16" spans="1:11">
      <c r="I16" s="41" t="s">
        <v>91</v>
      </c>
      <c r="J16" s="13">
        <v>152643</v>
      </c>
      <c r="K16" t="s">
        <v>92</v>
      </c>
    </row>
    <row r="17" spans="1:11">
      <c r="I17" s="42" t="s">
        <v>72</v>
      </c>
      <c r="J17" s="13">
        <v>150655</v>
      </c>
      <c r="K17" t="s">
        <v>73</v>
      </c>
    </row>
    <row r="18" spans="1:11">
      <c r="I18" s="41" t="s">
        <v>87</v>
      </c>
      <c r="J18" s="13">
        <v>151831</v>
      </c>
      <c r="K18" t="s">
        <v>88</v>
      </c>
    </row>
    <row r="19" spans="1:11">
      <c r="I19" s="42" t="s">
        <v>62</v>
      </c>
      <c r="J19" s="13">
        <v>150650</v>
      </c>
      <c r="K19" t="s">
        <v>63</v>
      </c>
    </row>
    <row r="20" spans="1:11">
      <c r="A20" s="6" t="s">
        <v>41</v>
      </c>
      <c r="B20" s="6" t="s">
        <v>44</v>
      </c>
      <c r="C20"/>
      <c r="D20"/>
      <c r="E20"/>
      <c r="F20"/>
      <c r="I20" s="41" t="s">
        <v>107</v>
      </c>
      <c r="J20" s="13">
        <v>150903</v>
      </c>
      <c r="K20" t="s">
        <v>108</v>
      </c>
    </row>
    <row r="21" spans="1:11">
      <c r="A21" s="6" t="s">
        <v>38</v>
      </c>
      <c r="B21" t="s">
        <v>39</v>
      </c>
      <c r="C21" t="s">
        <v>22</v>
      </c>
      <c r="D21" t="s">
        <v>15</v>
      </c>
      <c r="E21" t="s">
        <v>23</v>
      </c>
      <c r="F21" t="s">
        <v>40</v>
      </c>
      <c r="I21" s="42" t="s">
        <v>109</v>
      </c>
      <c r="J21" s="13">
        <v>155504</v>
      </c>
      <c r="K21" t="s">
        <v>110</v>
      </c>
    </row>
    <row r="22" spans="1:11">
      <c r="A22" s="7" t="s">
        <v>1</v>
      </c>
      <c r="B22" s="8"/>
      <c r="C22" s="8"/>
      <c r="D22" s="8">
        <v>2000</v>
      </c>
      <c r="E22" s="8"/>
      <c r="F22" s="8">
        <v>2000</v>
      </c>
      <c r="I22" s="41" t="s">
        <v>99</v>
      </c>
      <c r="J22" s="13">
        <v>150899</v>
      </c>
      <c r="K22" t="s">
        <v>100</v>
      </c>
    </row>
    <row r="23" spans="1:11">
      <c r="A23" s="7" t="s">
        <v>2</v>
      </c>
      <c r="B23" s="8"/>
      <c r="C23" s="8"/>
      <c r="D23" s="8">
        <v>2000</v>
      </c>
      <c r="E23" s="8"/>
      <c r="F23" s="8">
        <v>2000</v>
      </c>
      <c r="I23" s="42" t="s">
        <v>56</v>
      </c>
      <c r="J23" s="13">
        <v>150647</v>
      </c>
      <c r="K23" t="s">
        <v>57</v>
      </c>
    </row>
    <row r="24" spans="1:11">
      <c r="A24" s="7" t="s">
        <v>3</v>
      </c>
      <c r="B24" s="8"/>
      <c r="C24" s="8">
        <v>1000</v>
      </c>
      <c r="D24" s="8">
        <v>500</v>
      </c>
      <c r="E24" s="8">
        <v>10000</v>
      </c>
      <c r="F24" s="8">
        <v>11500</v>
      </c>
      <c r="I24" s="41" t="s">
        <v>89</v>
      </c>
      <c r="J24" s="13">
        <v>152306</v>
      </c>
      <c r="K24" t="s">
        <v>90</v>
      </c>
    </row>
    <row r="25" spans="1:11">
      <c r="A25" s="7" t="s">
        <v>4</v>
      </c>
      <c r="B25" s="8">
        <v>800</v>
      </c>
      <c r="C25" s="8"/>
      <c r="D25" s="8">
        <v>1000</v>
      </c>
      <c r="E25" s="8"/>
      <c r="F25" s="8">
        <v>1800</v>
      </c>
      <c r="I25" s="42" t="s">
        <v>78</v>
      </c>
      <c r="J25" s="13">
        <v>150658</v>
      </c>
      <c r="K25" t="s">
        <v>79</v>
      </c>
    </row>
    <row r="26" spans="1:11">
      <c r="A26" s="7" t="s">
        <v>40</v>
      </c>
      <c r="B26" s="8">
        <v>800</v>
      </c>
      <c r="C26" s="8">
        <v>1000</v>
      </c>
      <c r="D26" s="8">
        <v>5500</v>
      </c>
      <c r="E26" s="8">
        <v>10000</v>
      </c>
      <c r="F26" s="8">
        <v>17300</v>
      </c>
      <c r="I26" s="41" t="s">
        <v>58</v>
      </c>
      <c r="J26" s="13">
        <v>150648</v>
      </c>
      <c r="K26" t="s">
        <v>59</v>
      </c>
    </row>
    <row r="27" spans="1:11">
      <c r="A27"/>
      <c r="B27"/>
      <c r="C27"/>
      <c r="D27"/>
      <c r="I27" s="42" t="s">
        <v>97</v>
      </c>
      <c r="J27" s="13">
        <v>156042</v>
      </c>
      <c r="K27" t="s">
        <v>98</v>
      </c>
    </row>
    <row r="28" spans="1:11">
      <c r="A28"/>
      <c r="B28"/>
      <c r="C28"/>
      <c r="D28"/>
      <c r="I28" s="41" t="s">
        <v>28</v>
      </c>
      <c r="J28" s="13">
        <v>151616</v>
      </c>
      <c r="K28" t="s">
        <v>86</v>
      </c>
    </row>
    <row r="29" spans="1:11">
      <c r="A29"/>
      <c r="B29"/>
      <c r="C29"/>
      <c r="D29"/>
      <c r="I29" s="42" t="s">
        <v>101</v>
      </c>
      <c r="J29" s="13">
        <v>150900</v>
      </c>
      <c r="K29" t="s">
        <v>102</v>
      </c>
    </row>
    <row r="30" spans="1:11">
      <c r="A30"/>
      <c r="B30"/>
      <c r="C30"/>
      <c r="D30"/>
      <c r="I30" s="41" t="s">
        <v>60</v>
      </c>
      <c r="J30" s="13">
        <v>150649</v>
      </c>
      <c r="K30" t="s">
        <v>61</v>
      </c>
    </row>
    <row r="31" spans="1:11">
      <c r="A31"/>
      <c r="B31"/>
      <c r="C31"/>
      <c r="D31"/>
      <c r="I31" s="42" t="s">
        <v>55</v>
      </c>
      <c r="J31" s="13">
        <v>150646</v>
      </c>
      <c r="K31" t="s">
        <v>55</v>
      </c>
    </row>
    <row r="32" spans="1:11">
      <c r="A32"/>
      <c r="B32"/>
      <c r="C32"/>
      <c r="D32"/>
      <c r="I32" s="43" t="s">
        <v>64</v>
      </c>
      <c r="J32" s="13">
        <v>150651</v>
      </c>
      <c r="K32" t="s">
        <v>65</v>
      </c>
    </row>
    <row r="33" spans="1:4">
      <c r="A33"/>
      <c r="B33"/>
      <c r="C33"/>
      <c r="D33"/>
    </row>
    <row r="34" spans="1:4">
      <c r="A34"/>
      <c r="B34"/>
      <c r="C34"/>
      <c r="D34"/>
    </row>
    <row r="35" spans="1:4">
      <c r="A35"/>
      <c r="B35"/>
      <c r="C35"/>
      <c r="D35"/>
    </row>
    <row r="36" spans="1:4">
      <c r="A36"/>
      <c r="B36"/>
      <c r="C36"/>
      <c r="D36"/>
    </row>
    <row r="37" spans="1:4">
      <c r="A37"/>
      <c r="B37"/>
      <c r="C37"/>
      <c r="D37"/>
    </row>
    <row r="38" spans="1:4">
      <c r="A38"/>
      <c r="B38"/>
      <c r="C38"/>
      <c r="D38"/>
    </row>
    <row r="39" spans="1:4">
      <c r="A39"/>
      <c r="B39"/>
      <c r="C39"/>
      <c r="D39"/>
    </row>
    <row r="40" spans="1:4">
      <c r="A40"/>
      <c r="B40"/>
      <c r="C40"/>
      <c r="D40"/>
    </row>
    <row r="41" spans="1:4">
      <c r="A41"/>
      <c r="B41"/>
      <c r="C41"/>
      <c r="D41"/>
    </row>
    <row r="42" spans="1:4">
      <c r="A42"/>
      <c r="B42"/>
      <c r="C42"/>
      <c r="D42"/>
    </row>
    <row r="43" spans="1:4">
      <c r="A43"/>
      <c r="B43"/>
      <c r="C43"/>
      <c r="D43"/>
    </row>
    <row r="44" spans="1:4">
      <c r="A44"/>
      <c r="B44"/>
      <c r="C44"/>
      <c r="D44"/>
    </row>
    <row r="45" spans="1:4">
      <c r="A45"/>
      <c r="B45"/>
      <c r="C45"/>
      <c r="D45"/>
    </row>
    <row r="46" spans="1:4">
      <c r="A46"/>
      <c r="B46"/>
      <c r="C46"/>
      <c r="D46"/>
    </row>
    <row r="47" spans="1:4">
      <c r="A47"/>
      <c r="B47"/>
      <c r="C47"/>
      <c r="D47"/>
    </row>
    <row r="48" spans="1:4">
      <c r="A48"/>
      <c r="B48"/>
      <c r="C48"/>
      <c r="D48"/>
    </row>
    <row r="49" spans="1:4">
      <c r="A49"/>
      <c r="B49"/>
      <c r="C49"/>
      <c r="D49"/>
    </row>
    <row r="50" spans="1:4">
      <c r="A50"/>
      <c r="B50"/>
      <c r="C50"/>
      <c r="D50"/>
    </row>
    <row r="51" spans="1:4">
      <c r="A51"/>
      <c r="B51"/>
      <c r="C51"/>
      <c r="D51"/>
    </row>
  </sheetData>
  <sheetProtection algorithmName="SHA-512" hashValue="Xx5RKw6Bo6g2ZqNTCxlgSvyxFcpPATJ0tlkXIwkWW98rrYsnt2vEJ6UivYHpiRUSV/qo4aPIKaUb7HZEK0h2xA==" saltValue="1RWjVfCrigQfCQ6sSyZD3Q==" spinCount="100000" sheet="1" objects="1" scenarios="1"/>
  <pageMargins left="0.7" right="0.7" top="0.75" bottom="0.75" header="0.3" footer="0.3"/>
  <pageSetup paperSize="9" orientation="portrait" r:id="rId2"/>
  <tableParts count="4"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6A7A902F-14E2-42C0-B2E6-DD6375AD7277}">
  <ds:schemaRefs/>
</ds:datastoreItem>
</file>

<file path=customXml/itemProps2.xml><?xml version="1.0" encoding="utf-8"?>
<ds:datastoreItem xmlns:ds="http://schemas.openxmlformats.org/officeDocument/2006/customXml" ds:itemID="{BFE8C8D9-62F3-45F3-8DA0-CBFC19744F3E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11A8C5E6-8A0A-45A4-AB9D-AF6C9E633E52}">
  <ds:schemaRefs/>
</ds:datastoreItem>
</file>

<file path=customXml/itemProps4.xml><?xml version="1.0" encoding="utf-8"?>
<ds:datastoreItem xmlns:ds="http://schemas.openxmlformats.org/officeDocument/2006/customXml" ds:itemID="{7BEEC2BD-9DB0-4F3A-8547-EFB09A9DD53B}">
  <ds:schemaRefs/>
</ds:datastoreItem>
</file>

<file path=customXml/itemProps5.xml><?xml version="1.0" encoding="utf-8"?>
<ds:datastoreItem xmlns:ds="http://schemas.openxmlformats.org/officeDocument/2006/customXml" ds:itemID="{21E9C64D-446A-429C-8657-5E98FC5F59DE}">
  <ds:schemaRefs/>
</ds:datastoreItem>
</file>

<file path=customXml/itemProps6.xml><?xml version="1.0" encoding="utf-8"?>
<ds:datastoreItem xmlns:ds="http://schemas.openxmlformats.org/officeDocument/2006/customXml" ds:itemID="{7181C7B1-DFB1-41C6-BB85-547E31E62D62}">
  <ds:schemaRefs/>
</ds:datastoreItem>
</file>

<file path=customXml/itemProps7.xml><?xml version="1.0" encoding="utf-8"?>
<ds:datastoreItem xmlns:ds="http://schemas.openxmlformats.org/officeDocument/2006/customXml" ds:itemID="{BA02F4F7-A15C-4CFF-9953-C65EE54230E3}">
  <ds:schemaRefs/>
</ds:datastoreItem>
</file>

<file path=customXml/itemProps8.xml><?xml version="1.0" encoding="utf-8"?>
<ds:datastoreItem xmlns:ds="http://schemas.openxmlformats.org/officeDocument/2006/customXml" ds:itemID="{D1CAF3CE-620C-4823-B6DC-8047B1EDCF73}">
  <ds:schemaRefs/>
</ds:datastoreItem>
</file>

<file path=customXml/itemProps9.xml><?xml version="1.0" encoding="utf-8"?>
<ds:datastoreItem xmlns:ds="http://schemas.openxmlformats.org/officeDocument/2006/customXml" ds:itemID="{2752389F-0D4E-4CF7-8455-97128EE9419A}">
  <ds:schemaRefs/>
</ds:datastoreItem>
</file>

<file path=customXml/itemProps10.xml><?xml version="1.0" encoding="utf-8"?>
<ds:datastoreItem xmlns:ds="http://schemas.openxmlformats.org/officeDocument/2006/customXml" ds:itemID="{CCFDE321-4D7F-47D8-BE1B-E0F44F62C789}">
  <ds:schemaRefs/>
</ds:datastoreItem>
</file>

<file path=customXml/itemProps11.xml><?xml version="1.0" encoding="utf-8"?>
<ds:datastoreItem xmlns:ds="http://schemas.openxmlformats.org/officeDocument/2006/customXml" ds:itemID="{2F071F6A-5575-4720-BD0F-E307E6AFAD66}">
  <ds:schemaRefs/>
</ds:datastoreItem>
</file>

<file path=customXml/itemProps12.xml><?xml version="1.0" encoding="utf-8"?>
<ds:datastoreItem xmlns:ds="http://schemas.openxmlformats.org/officeDocument/2006/customXml" ds:itemID="{73F810E4-5340-45BE-AEE6-917AC2DF89E3}">
  <ds:schemaRefs/>
</ds:datastoreItem>
</file>

<file path=customXml/itemProps13.xml><?xml version="1.0" encoding="utf-8"?>
<ds:datastoreItem xmlns:ds="http://schemas.openxmlformats.org/officeDocument/2006/customXml" ds:itemID="{77A5FC12-9C1F-4BDA-A11B-A4E3320F8E14}">
  <ds:schemaRefs/>
</ds:datastoreItem>
</file>

<file path=customXml/itemProps14.xml><?xml version="1.0" encoding="utf-8"?>
<ds:datastoreItem xmlns:ds="http://schemas.openxmlformats.org/officeDocument/2006/customXml" ds:itemID="{6FFD3E2A-A171-43C2-8FD1-D940C5CF2A45}">
  <ds:schemaRefs/>
</ds:datastoreItem>
</file>

<file path=customXml/itemProps15.xml><?xml version="1.0" encoding="utf-8"?>
<ds:datastoreItem xmlns:ds="http://schemas.openxmlformats.org/officeDocument/2006/customXml" ds:itemID="{4A83B42C-6C02-4D25-9558-BA23D80857C5}">
  <ds:schemaRefs/>
</ds:datastoreItem>
</file>

<file path=customXml/itemProps16.xml><?xml version="1.0" encoding="utf-8"?>
<ds:datastoreItem xmlns:ds="http://schemas.openxmlformats.org/officeDocument/2006/customXml" ds:itemID="{36ED0608-3286-402A-A35E-218D2D375305}">
  <ds:schemaRefs/>
</ds:datastoreItem>
</file>

<file path=customXml/itemProps17.xml><?xml version="1.0" encoding="utf-8"?>
<ds:datastoreItem xmlns:ds="http://schemas.openxmlformats.org/officeDocument/2006/customXml" ds:itemID="{EEB6DDA4-4900-4365-8894-DB18D984BA47}">
  <ds:schemaRefs/>
</ds:datastoreItem>
</file>

<file path=customXml/itemProps18.xml><?xml version="1.0" encoding="utf-8"?>
<ds:datastoreItem xmlns:ds="http://schemas.openxmlformats.org/officeDocument/2006/customXml" ds:itemID="{C1E85F88-4ABA-4232-AFBA-DFC58EE7525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Distribuição Orçamentária</vt:lpstr>
      <vt:lpstr>Planejamento</vt:lpstr>
      <vt:lpstr>Quadro Mensal</vt:lpstr>
      <vt:lpstr>Sumário</vt:lpstr>
      <vt:lpstr>Lista de Corpatilhamento</vt:lpstr>
      <vt:lpstr>help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CODEOR</dc:creator>
  <cp:lastModifiedBy>CODEOR</cp:lastModifiedBy>
  <cp:lastPrinted>2018-02-26T21:07:41Z</cp:lastPrinted>
  <dcterms:created xsi:type="dcterms:W3CDTF">2018-01-31T14:37:13Z</dcterms:created>
  <dcterms:modified xsi:type="dcterms:W3CDTF">2018-03-15T12:50:08Z</dcterms:modified>
</cp:coreProperties>
</file>